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12" yWindow="-12" windowWidth="14520" windowHeight="13740" tabRatio="881"/>
  </bookViews>
  <sheets>
    <sheet name="Exhibit A-1" sheetId="1" r:id="rId1"/>
    <sheet name="support A-1=&gt;" sheetId="4" r:id="rId2"/>
    <sheet name="Unprotected DFIT Lead" sheetId="22" r:id="rId3"/>
    <sheet name="Unprotected DFIT Reg Asset Amor" sheetId="21" r:id="rId4"/>
    <sheet name="For Prod Adj Expense" sheetId="5" r:id="rId5"/>
    <sheet name="Rate Base Summarized" sheetId="2" r:id="rId6"/>
    <sheet name="Prod 12-2018" sheetId="6" r:id="rId7"/>
    <sheet name="Trans 12-2018" sheetId="8" r:id="rId8"/>
    <sheet name="Trans Dep AMA to EOP" sheetId="23" r:id="rId9"/>
    <sheet name="DFIT EIM 2018" sheetId="10" r:id="rId10"/>
    <sheet name="DFIT 2018" sheetId="9" r:id="rId11"/>
    <sheet name="ARC &amp; ARO DIT Dec 2018" sheetId="18" r:id="rId12"/>
    <sheet name="Colstrip FERC" sheetId="11" r:id="rId13"/>
    <sheet name="Acq Adj" sheetId="12" r:id="rId14"/>
    <sheet name="Account 406" sheetId="13" r:id="rId15"/>
    <sheet name="Brokerage Fees" sheetId="15" r:id="rId16"/>
    <sheet name="Baker Treasury Grt" sheetId="16" r:id="rId17"/>
    <sheet name="Snoq Treasury Grt " sheetId="17" r:id="rId18"/>
  </sheets>
  <definedNames>
    <definedName name="_xlnm.Print_Area" localSheetId="0">'Exhibit A-1'!$A$1:$G$50</definedName>
  </definedNames>
  <calcPr calcId="162913"/>
</workbook>
</file>

<file path=xl/calcChain.xml><?xml version="1.0" encoding="utf-8"?>
<calcChain xmlns="http://schemas.openxmlformats.org/spreadsheetml/2006/main">
  <c r="D46" i="23" l="1"/>
  <c r="D57" i="23"/>
  <c r="D21" i="23"/>
  <c r="D35" i="23"/>
  <c r="D60" i="23" l="1"/>
  <c r="E14" i="22" l="1"/>
  <c r="D14" i="22"/>
  <c r="C14" i="22"/>
  <c r="E3" i="21" l="1"/>
  <c r="C37" i="2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C60" i="21" s="1"/>
  <c r="C61" i="21" s="1"/>
  <c r="C62" i="21" s="1"/>
  <c r="C63" i="21" s="1"/>
  <c r="C64" i="21" s="1"/>
  <c r="C65" i="21" s="1"/>
  <c r="C66" i="21" s="1"/>
  <c r="C67" i="21" s="1"/>
  <c r="C68" i="21" s="1"/>
  <c r="C69" i="21" s="1"/>
  <c r="C70" i="21" s="1"/>
  <c r="C71" i="21" s="1"/>
  <c r="C72" i="21" s="1"/>
  <c r="C73" i="21" s="1"/>
  <c r="C74" i="21" s="1"/>
  <c r="C75" i="21" s="1"/>
  <c r="C76" i="21" s="1"/>
  <c r="C77" i="21" s="1"/>
  <c r="C78" i="21" s="1"/>
  <c r="C79" i="21" s="1"/>
  <c r="C80" i="21" s="1"/>
  <c r="C81" i="21" s="1"/>
  <c r="C82" i="21" s="1"/>
  <c r="C83" i="21" s="1"/>
  <c r="C84" i="21" s="1"/>
  <c r="C85" i="21" s="1"/>
  <c r="C86" i="21" s="1"/>
  <c r="C87" i="21" s="1"/>
  <c r="C88" i="21" s="1"/>
  <c r="C89" i="21" s="1"/>
  <c r="C90" i="21" s="1"/>
  <c r="C91" i="21" s="1"/>
  <c r="C92" i="21" s="1"/>
  <c r="C93" i="21" s="1"/>
  <c r="C94" i="21" s="1"/>
  <c r="C95" i="21" s="1"/>
  <c r="B8" i="21" l="1"/>
  <c r="E8" i="21" s="1"/>
  <c r="B9" i="21" s="1"/>
  <c r="E9" i="21" s="1"/>
  <c r="B10" i="21" s="1"/>
  <c r="E10" i="21" s="1"/>
  <c r="B11" i="21" s="1"/>
  <c r="E11" i="21" s="1"/>
  <c r="B12" i="21" s="1"/>
  <c r="E12" i="21" s="1"/>
  <c r="B13" i="21" s="1"/>
  <c r="E13" i="21" s="1"/>
  <c r="B14" i="21" s="1"/>
  <c r="E14" i="21" s="1"/>
  <c r="B15" i="21" s="1"/>
  <c r="E15" i="21" s="1"/>
  <c r="B16" i="21" s="1"/>
  <c r="E16" i="21" s="1"/>
  <c r="B17" i="21" s="1"/>
  <c r="E17" i="21" s="1"/>
  <c r="B18" i="21" s="1"/>
  <c r="E18" i="21" s="1"/>
  <c r="B19" i="21" s="1"/>
  <c r="B97" i="21" s="1"/>
  <c r="C9" i="22" s="1"/>
  <c r="E19" i="21" l="1"/>
  <c r="B20" i="21" s="1"/>
  <c r="E20" i="21" s="1"/>
  <c r="B21" i="21" s="1"/>
  <c r="E21" i="21" s="1"/>
  <c r="B22" i="21" s="1"/>
  <c r="E22" i="21" s="1"/>
  <c r="B23" i="21" s="1"/>
  <c r="E23" i="21" s="1"/>
  <c r="B24" i="21" s="1"/>
  <c r="E24" i="21" s="1"/>
  <c r="B25" i="21" s="1"/>
  <c r="E25" i="21" s="1"/>
  <c r="B26" i="21" s="1"/>
  <c r="E26" i="21" s="1"/>
  <c r="B27" i="21" s="1"/>
  <c r="E27" i="21" s="1"/>
  <c r="B28" i="21" s="1"/>
  <c r="E28" i="21" s="1"/>
  <c r="B29" i="21" s="1"/>
  <c r="E29" i="21" s="1"/>
  <c r="B30" i="21" s="1"/>
  <c r="E30" i="21" s="1"/>
  <c r="B31" i="21" s="1"/>
  <c r="E31" i="21" s="1"/>
  <c r="B32" i="21" s="1"/>
  <c r="E32" i="21" s="1"/>
  <c r="B33" i="21" s="1"/>
  <c r="E33" i="21" s="1"/>
  <c r="B34" i="21" s="1"/>
  <c r="E34" i="21" s="1"/>
  <c r="B35" i="21" s="1"/>
  <c r="E35" i="21" s="1"/>
  <c r="B36" i="21" s="1"/>
  <c r="C10" i="22"/>
  <c r="D9" i="22"/>
  <c r="E9" i="22" l="1"/>
  <c r="E10" i="22" s="1"/>
  <c r="D10" i="22"/>
  <c r="D36" i="21"/>
  <c r="E36" i="21" l="1"/>
  <c r="B37" i="21" s="1"/>
  <c r="D37" i="21" l="1"/>
  <c r="E37" i="21" l="1"/>
  <c r="B38" i="21" s="1"/>
  <c r="D38" i="21" l="1"/>
  <c r="E38" i="21" l="1"/>
  <c r="B39" i="21" s="1"/>
  <c r="D39" i="21" l="1"/>
  <c r="E39" i="21" l="1"/>
  <c r="B40" i="21" s="1"/>
  <c r="D40" i="21" s="1"/>
  <c r="E40" i="21" s="1"/>
  <c r="B41" i="21" s="1"/>
  <c r="D41" i="21" l="1"/>
  <c r="E41" i="21" s="1"/>
  <c r="B42" i="21" s="1"/>
  <c r="D42" i="21" l="1"/>
  <c r="E42" i="21" s="1"/>
  <c r="B43" i="21" s="1"/>
  <c r="D43" i="21" l="1"/>
  <c r="E43" i="21" s="1"/>
  <c r="B44" i="21" s="1"/>
  <c r="D44" i="21" l="1"/>
  <c r="E44" i="21" s="1"/>
  <c r="B45" i="21" s="1"/>
  <c r="D45" i="21" l="1"/>
  <c r="E45" i="21" s="1"/>
  <c r="B46" i="21" s="1"/>
  <c r="D46" i="21" l="1"/>
  <c r="E46" i="21" s="1"/>
  <c r="B47" i="21" s="1"/>
  <c r="D47" i="21" l="1"/>
  <c r="D98" i="21" s="1"/>
  <c r="F13" i="22" s="1"/>
  <c r="F14" i="22" l="1"/>
  <c r="G13" i="22"/>
  <c r="E47" i="21"/>
  <c r="G14" i="22" l="1"/>
  <c r="B48" i="21"/>
  <c r="E98" i="21"/>
  <c r="F9" i="22" s="1"/>
  <c r="F10" i="22" l="1"/>
  <c r="G9" i="22"/>
  <c r="D48" i="21"/>
  <c r="E48" i="21" s="1"/>
  <c r="B49" i="21" s="1"/>
  <c r="G10" i="22" l="1"/>
  <c r="D49" i="21"/>
  <c r="E49" i="21" s="1"/>
  <c r="B50" i="21" s="1"/>
  <c r="D50" i="21" l="1"/>
  <c r="E50" i="21" s="1"/>
  <c r="B51" i="21" s="1"/>
  <c r="D51" i="21" l="1"/>
  <c r="E51" i="21" s="1"/>
  <c r="B52" i="21" s="1"/>
  <c r="D52" i="21" l="1"/>
  <c r="E52" i="21" s="1"/>
  <c r="B53" i="21" s="1"/>
  <c r="D53" i="21" l="1"/>
  <c r="E53" i="21" s="1"/>
  <c r="B54" i="21" s="1"/>
  <c r="D54" i="21" l="1"/>
  <c r="E54" i="21" s="1"/>
  <c r="B55" i="21" s="1"/>
  <c r="D55" i="21" l="1"/>
  <c r="E55" i="21" s="1"/>
  <c r="B56" i="21" s="1"/>
  <c r="D56" i="21" l="1"/>
  <c r="E56" i="21" s="1"/>
  <c r="B57" i="21" s="1"/>
  <c r="D57" i="21" l="1"/>
  <c r="E57" i="21" s="1"/>
  <c r="B58" i="21" s="1"/>
  <c r="D58" i="21" l="1"/>
  <c r="E58" i="21" s="1"/>
  <c r="B59" i="21" s="1"/>
  <c r="D59" i="21" l="1"/>
  <c r="E59" i="21" s="1"/>
  <c r="B60" i="21" s="1"/>
  <c r="D60" i="21" l="1"/>
  <c r="E60" i="21" s="1"/>
  <c r="B61" i="21" s="1"/>
  <c r="D61" i="21" l="1"/>
  <c r="E61" i="21" s="1"/>
  <c r="B62" i="21" s="1"/>
  <c r="D62" i="21" l="1"/>
  <c r="E62" i="21" s="1"/>
  <c r="B63" i="21" s="1"/>
  <c r="D63" i="21" l="1"/>
  <c r="E63" i="21" s="1"/>
  <c r="B64" i="21" s="1"/>
  <c r="D64" i="21" l="1"/>
  <c r="E64" i="21" s="1"/>
  <c r="B65" i="21" s="1"/>
  <c r="D65" i="21" l="1"/>
  <c r="E65" i="21" s="1"/>
  <c r="B66" i="21" s="1"/>
  <c r="D66" i="21" l="1"/>
  <c r="E66" i="21" s="1"/>
  <c r="B67" i="21" s="1"/>
  <c r="D67" i="21" l="1"/>
  <c r="E67" i="21" s="1"/>
  <c r="B68" i="21" s="1"/>
  <c r="D68" i="21" l="1"/>
  <c r="E68" i="21" s="1"/>
  <c r="B69" i="21" s="1"/>
  <c r="D69" i="21" l="1"/>
  <c r="E69" i="21" s="1"/>
  <c r="B70" i="21" s="1"/>
  <c r="D70" i="21" l="1"/>
  <c r="E70" i="21" s="1"/>
  <c r="B71" i="21" s="1"/>
  <c r="D71" i="21" l="1"/>
  <c r="E71" i="21" s="1"/>
  <c r="B72" i="21" s="1"/>
  <c r="D72" i="21" l="1"/>
  <c r="E72" i="21" s="1"/>
  <c r="B73" i="21" s="1"/>
  <c r="D73" i="21" l="1"/>
  <c r="E73" i="21" s="1"/>
  <c r="B74" i="21" s="1"/>
  <c r="D74" i="21" l="1"/>
  <c r="E74" i="21" s="1"/>
  <c r="B75" i="21" s="1"/>
  <c r="D75" i="21" l="1"/>
  <c r="E75" i="21" s="1"/>
  <c r="B76" i="21" s="1"/>
  <c r="D76" i="21" l="1"/>
  <c r="E76" i="21" s="1"/>
  <c r="B77" i="21" s="1"/>
  <c r="D77" i="21" l="1"/>
  <c r="E77" i="21" s="1"/>
  <c r="B78" i="21" s="1"/>
  <c r="D78" i="21" l="1"/>
  <c r="E78" i="21" s="1"/>
  <c r="B79" i="21" s="1"/>
  <c r="D79" i="21" l="1"/>
  <c r="E79" i="21" s="1"/>
  <c r="B80" i="21" s="1"/>
  <c r="D80" i="21" l="1"/>
  <c r="E80" i="21" s="1"/>
  <c r="B81" i="21" s="1"/>
  <c r="D81" i="21" l="1"/>
  <c r="E81" i="21" s="1"/>
  <c r="B82" i="21" s="1"/>
  <c r="D82" i="21" l="1"/>
  <c r="E82" i="21" s="1"/>
  <c r="B83" i="21" s="1"/>
  <c r="D83" i="21" l="1"/>
  <c r="E83" i="21" s="1"/>
  <c r="B84" i="21" s="1"/>
  <c r="D84" i="21" l="1"/>
  <c r="E84" i="21" s="1"/>
  <c r="B85" i="21" s="1"/>
  <c r="D85" i="21" l="1"/>
  <c r="E85" i="21" s="1"/>
  <c r="B86" i="21" s="1"/>
  <c r="D86" i="21" l="1"/>
  <c r="E86" i="21" s="1"/>
  <c r="B87" i="21" s="1"/>
  <c r="D87" i="21" l="1"/>
  <c r="E87" i="21" s="1"/>
  <c r="B88" i="21" s="1"/>
  <c r="D88" i="21" l="1"/>
  <c r="E88" i="21" s="1"/>
  <c r="B89" i="21" s="1"/>
  <c r="D89" i="21" l="1"/>
  <c r="E89" i="21" s="1"/>
  <c r="B90" i="21" s="1"/>
  <c r="D90" i="21" l="1"/>
  <c r="E90" i="21" s="1"/>
  <c r="B91" i="21" s="1"/>
  <c r="D91" i="21" l="1"/>
  <c r="E91" i="21" s="1"/>
  <c r="B92" i="21" s="1"/>
  <c r="D92" i="21" l="1"/>
  <c r="E92" i="21" s="1"/>
  <c r="B93" i="21" s="1"/>
  <c r="D93" i="21" l="1"/>
  <c r="E93" i="21" s="1"/>
  <c r="B94" i="21" s="1"/>
  <c r="D94" i="21" l="1"/>
  <c r="E94" i="21" s="1"/>
  <c r="B95" i="21" s="1"/>
  <c r="D95" i="21" l="1"/>
  <c r="E95" i="21" s="1"/>
  <c r="G62" i="6" l="1"/>
  <c r="I62" i="6" l="1"/>
  <c r="H62" i="6"/>
  <c r="C10" i="11" l="1"/>
  <c r="C12" i="11"/>
  <c r="D53" i="12"/>
  <c r="D55" i="12" s="1"/>
  <c r="I60" i="8" s="1"/>
  <c r="G19" i="18" l="1"/>
  <c r="G20" i="18"/>
  <c r="G21" i="18"/>
  <c r="G22" i="18"/>
  <c r="G23" i="18"/>
  <c r="G24" i="18"/>
  <c r="C25" i="18"/>
  <c r="F25" i="18"/>
  <c r="F26" i="18" s="1"/>
  <c r="D26" i="18"/>
  <c r="E26" i="18"/>
  <c r="G30" i="18"/>
  <c r="G31" i="18"/>
  <c r="G32" i="18"/>
  <c r="G33" i="18"/>
  <c r="G34" i="18"/>
  <c r="G35" i="18"/>
  <c r="G36" i="18"/>
  <c r="C37" i="18"/>
  <c r="C38" i="18" s="1"/>
  <c r="D38" i="18"/>
  <c r="E38" i="18"/>
  <c r="F37" i="18" l="1"/>
  <c r="F38" i="18" s="1"/>
  <c r="G25" i="18"/>
  <c r="C26" i="18"/>
  <c r="G26" i="18" s="1"/>
  <c r="F9" i="18"/>
  <c r="E8" i="18"/>
  <c r="F8" i="18"/>
  <c r="I12" i="18"/>
  <c r="J9" i="18"/>
  <c r="E9" i="18"/>
  <c r="D9" i="18"/>
  <c r="C9" i="18"/>
  <c r="D8" i="18"/>
  <c r="G37" i="18" l="1"/>
  <c r="G38" i="18" s="1"/>
  <c r="G9" i="18" s="1"/>
  <c r="C8" i="18"/>
  <c r="C10" i="18" s="1"/>
  <c r="C12" i="18" s="1"/>
  <c r="O99" i="9" s="1"/>
  <c r="E10" i="18"/>
  <c r="E12" i="18" s="1"/>
  <c r="D10" i="18"/>
  <c r="D12" i="18" s="1"/>
  <c r="F10" i="18"/>
  <c r="F12" i="18" s="1"/>
  <c r="G8" i="18"/>
  <c r="G10" i="18" s="1"/>
  <c r="G12" i="18" s="1"/>
  <c r="J12" i="18" s="1"/>
  <c r="K12" i="18" s="1"/>
  <c r="A9" i="1" l="1"/>
  <c r="A10" i="1" s="1"/>
  <c r="A11" i="1" s="1"/>
  <c r="A12" i="1" s="1"/>
  <c r="D10" i="16" l="1"/>
  <c r="D11" i="16"/>
  <c r="E11" i="16" s="1"/>
  <c r="F11" i="16" s="1"/>
  <c r="D12" i="16" l="1"/>
  <c r="G11" i="16"/>
  <c r="E12" i="16" l="1"/>
  <c r="F12" i="16" s="1"/>
  <c r="G12" i="16"/>
  <c r="D13" i="16"/>
  <c r="E13" i="16" l="1"/>
  <c r="F13" i="16" s="1"/>
  <c r="G13" i="16" s="1"/>
  <c r="D14" i="16"/>
  <c r="E14" i="16" l="1"/>
  <c r="D15" i="16"/>
  <c r="F14" i="16"/>
  <c r="E15" i="16" l="1"/>
  <c r="F15" i="16" s="1"/>
  <c r="G15" i="16" s="1"/>
  <c r="D16" i="16"/>
  <c r="G14" i="16"/>
  <c r="E16" i="16" l="1"/>
  <c r="D17" i="16"/>
  <c r="F16" i="16"/>
  <c r="E17" i="16" l="1"/>
  <c r="F17" i="16" s="1"/>
  <c r="D18" i="16"/>
  <c r="G16" i="16"/>
  <c r="G17" i="16" l="1"/>
  <c r="E18" i="16"/>
  <c r="F18" i="16" s="1"/>
  <c r="D19" i="16"/>
  <c r="G18" i="16" l="1"/>
  <c r="E19" i="16"/>
  <c r="F19" i="16" s="1"/>
  <c r="D20" i="16"/>
  <c r="G19" i="16" l="1"/>
  <c r="E20" i="16"/>
  <c r="F20" i="16" s="1"/>
  <c r="D21" i="16"/>
  <c r="G20" i="16" l="1"/>
  <c r="E21" i="16"/>
  <c r="F21" i="16" s="1"/>
  <c r="D22" i="16"/>
  <c r="G21" i="16" l="1"/>
  <c r="E22" i="16"/>
  <c r="F22" i="16" s="1"/>
  <c r="D23" i="16"/>
  <c r="G22" i="16" l="1"/>
  <c r="E23" i="16"/>
  <c r="F23" i="16" s="1"/>
  <c r="D24" i="16"/>
  <c r="G23" i="16" l="1"/>
  <c r="E24" i="16"/>
  <c r="F24" i="16" s="1"/>
  <c r="D25" i="16"/>
  <c r="G24" i="16" l="1"/>
  <c r="E25" i="16"/>
  <c r="F25" i="16" s="1"/>
  <c r="D26" i="16"/>
  <c r="G25" i="16" l="1"/>
  <c r="E26" i="16"/>
  <c r="F26" i="16" s="1"/>
  <c r="D27" i="16"/>
  <c r="G26" i="16" l="1"/>
  <c r="E27" i="16"/>
  <c r="F27" i="16" s="1"/>
  <c r="D28" i="16"/>
  <c r="G27" i="16" l="1"/>
  <c r="E28" i="16"/>
  <c r="F28" i="16" s="1"/>
  <c r="D29" i="16"/>
  <c r="G28" i="16" l="1"/>
  <c r="E29" i="16"/>
  <c r="F29" i="16" s="1"/>
  <c r="D30" i="16"/>
  <c r="G29" i="16" l="1"/>
  <c r="E30" i="16"/>
  <c r="F30" i="16" s="1"/>
  <c r="D31" i="16"/>
  <c r="G30" i="16" l="1"/>
  <c r="E31" i="16"/>
  <c r="F31" i="16" s="1"/>
  <c r="D32" i="16"/>
  <c r="G31" i="16" l="1"/>
  <c r="E32" i="16"/>
  <c r="F32" i="16" s="1"/>
  <c r="D33" i="16"/>
  <c r="G32" i="16" l="1"/>
  <c r="E33" i="16"/>
  <c r="F33" i="16" s="1"/>
  <c r="D34" i="16"/>
  <c r="G33" i="16" l="1"/>
  <c r="E34" i="16"/>
  <c r="F34" i="16" s="1"/>
  <c r="D35" i="16"/>
  <c r="G34" i="16" l="1"/>
  <c r="E35" i="16"/>
  <c r="F35" i="16" s="1"/>
  <c r="D36" i="16"/>
  <c r="G35" i="16" l="1"/>
  <c r="E36" i="16"/>
  <c r="F36" i="16" s="1"/>
  <c r="D37" i="16"/>
  <c r="G36" i="16" l="1"/>
  <c r="E37" i="16"/>
  <c r="F37" i="16" s="1"/>
  <c r="D38" i="16"/>
  <c r="E38" i="16" l="1"/>
  <c r="F38" i="16" s="1"/>
  <c r="D39" i="16"/>
  <c r="G37" i="16"/>
  <c r="G38" i="16" l="1"/>
  <c r="E39" i="16"/>
  <c r="F39" i="16" s="1"/>
  <c r="D40" i="16"/>
  <c r="E40" i="16" l="1"/>
  <c r="F40" i="16" s="1"/>
  <c r="D41" i="16"/>
  <c r="G39" i="16"/>
  <c r="G40" i="16" l="1"/>
  <c r="E41" i="16"/>
  <c r="F41" i="16" s="1"/>
  <c r="G41" i="16" s="1"/>
  <c r="D42" i="16"/>
  <c r="E42" i="16" l="1"/>
  <c r="F42" i="16" s="1"/>
  <c r="D43" i="16"/>
  <c r="G42" i="16" l="1"/>
  <c r="E43" i="16"/>
  <c r="F43" i="16" s="1"/>
  <c r="G43" i="16" s="1"/>
  <c r="D44" i="16"/>
  <c r="E44" i="16" l="1"/>
  <c r="F44" i="16" s="1"/>
  <c r="D45" i="16"/>
  <c r="G44" i="16" l="1"/>
  <c r="E45" i="16"/>
  <c r="F45" i="16" s="1"/>
  <c r="G45" i="16" s="1"/>
  <c r="D46" i="16"/>
  <c r="E46" i="16" l="1"/>
  <c r="F46" i="16" s="1"/>
  <c r="D47" i="16"/>
  <c r="G46" i="16" l="1"/>
  <c r="E47" i="16"/>
  <c r="F47" i="16" s="1"/>
  <c r="D48" i="16"/>
  <c r="E48" i="16" l="1"/>
  <c r="F48" i="16" s="1"/>
  <c r="D49" i="16"/>
  <c r="G47" i="16"/>
  <c r="G48" i="16" l="1"/>
  <c r="E49" i="16"/>
  <c r="F49" i="16" s="1"/>
  <c r="G49" i="16" s="1"/>
  <c r="D50" i="16"/>
  <c r="E50" i="16" l="1"/>
  <c r="F50" i="16" s="1"/>
  <c r="D51" i="16"/>
  <c r="E51" i="16" l="1"/>
  <c r="F51" i="16" s="1"/>
  <c r="D52" i="16"/>
  <c r="G50" i="16"/>
  <c r="G51" i="16" l="1"/>
  <c r="E52" i="16"/>
  <c r="F52" i="16" s="1"/>
  <c r="D53" i="16"/>
  <c r="E53" i="16" l="1"/>
  <c r="F53" i="16" s="1"/>
  <c r="D54" i="16"/>
  <c r="G52" i="16"/>
  <c r="G53" i="16" l="1"/>
  <c r="E54" i="16"/>
  <c r="F54" i="16" s="1"/>
  <c r="G54" i="16" s="1"/>
  <c r="D55" i="16"/>
  <c r="H54" i="16" l="1"/>
  <c r="D56" i="16"/>
  <c r="E55" i="16"/>
  <c r="F55" i="16" s="1"/>
  <c r="G55" i="16" l="1"/>
  <c r="D57" i="16"/>
  <c r="E56" i="16"/>
  <c r="F56" i="16" s="1"/>
  <c r="G56" i="16" l="1"/>
  <c r="D58" i="16"/>
  <c r="E57" i="16"/>
  <c r="F57" i="16" s="1"/>
  <c r="G57" i="16" l="1"/>
  <c r="D59" i="16"/>
  <c r="E58" i="16"/>
  <c r="F58" i="16" s="1"/>
  <c r="G58" i="16" s="1"/>
  <c r="D60" i="16" l="1"/>
  <c r="E59" i="16"/>
  <c r="F59" i="16" s="1"/>
  <c r="G59" i="16" l="1"/>
  <c r="D61" i="16"/>
  <c r="E60" i="16"/>
  <c r="F60" i="16" s="1"/>
  <c r="G60" i="16" l="1"/>
  <c r="D62" i="16"/>
  <c r="E61" i="16"/>
  <c r="F61" i="16" s="1"/>
  <c r="G61" i="16" l="1"/>
  <c r="D63" i="16"/>
  <c r="E62" i="16"/>
  <c r="F62" i="16" s="1"/>
  <c r="G62" i="16" s="1"/>
  <c r="D64" i="16" l="1"/>
  <c r="E63" i="16"/>
  <c r="F63" i="16" s="1"/>
  <c r="G63" i="16" l="1"/>
  <c r="D65" i="16"/>
  <c r="E64" i="16"/>
  <c r="F64" i="16" s="1"/>
  <c r="G64" i="16" l="1"/>
  <c r="D66" i="16"/>
  <c r="E65" i="16"/>
  <c r="F65" i="16" s="1"/>
  <c r="G65" i="16" l="1"/>
  <c r="E66" i="16"/>
  <c r="F66" i="16" s="1"/>
  <c r="H66" i="16" s="1"/>
  <c r="G66" i="16" l="1"/>
  <c r="D11" i="17" l="1"/>
  <c r="D12" i="17" s="1"/>
  <c r="B17" i="15"/>
  <c r="C16" i="13"/>
  <c r="G16" i="13" s="1"/>
  <c r="C30" i="13"/>
  <c r="C44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C58" i="13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C9" i="2" s="1"/>
  <c r="B18" i="12"/>
  <c r="C18" i="12"/>
  <c r="D18" i="12"/>
  <c r="E18" i="12"/>
  <c r="F22" i="12"/>
  <c r="B23" i="12"/>
  <c r="B24" i="12" s="1"/>
  <c r="B25" i="12" s="1"/>
  <c r="B26" i="12" s="1"/>
  <c r="B27" i="12" s="1"/>
  <c r="B28" i="12" s="1"/>
  <c r="B29" i="12" s="1"/>
  <c r="C23" i="12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E23" i="12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D35" i="12"/>
  <c r="F41" i="12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E8" i="11"/>
  <c r="E9" i="11"/>
  <c r="B10" i="11"/>
  <c r="B12" i="11" s="1"/>
  <c r="D10" i="11"/>
  <c r="D12" i="11" s="1"/>
  <c r="D13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D59" i="11" s="1"/>
  <c r="D60" i="11" s="1"/>
  <c r="D61" i="11" s="1"/>
  <c r="D62" i="11" s="1"/>
  <c r="D63" i="11" s="1"/>
  <c r="D64" i="11" s="1"/>
  <c r="D65" i="11" s="1"/>
  <c r="D66" i="11" s="1"/>
  <c r="D67" i="11" s="1"/>
  <c r="D68" i="11" s="1"/>
  <c r="D69" i="11" s="1"/>
  <c r="D70" i="11" s="1"/>
  <c r="D71" i="11" s="1"/>
  <c r="D72" i="11" s="1"/>
  <c r="D73" i="11" s="1"/>
  <c r="D74" i="11" s="1"/>
  <c r="D75" i="11" s="1"/>
  <c r="D76" i="11" s="1"/>
  <c r="D77" i="11" s="1"/>
  <c r="D78" i="11" s="1"/>
  <c r="D79" i="11" s="1"/>
  <c r="D80" i="11" s="1"/>
  <c r="D81" i="11" s="1"/>
  <c r="D82" i="11" s="1"/>
  <c r="D83" i="11" s="1"/>
  <c r="D84" i="11" s="1"/>
  <c r="D85" i="11" s="1"/>
  <c r="D86" i="11" s="1"/>
  <c r="D87" i="11" s="1"/>
  <c r="D88" i="11" s="1"/>
  <c r="D89" i="11" s="1"/>
  <c r="D90" i="11" s="1"/>
  <c r="D91" i="11" s="1"/>
  <c r="D92" i="11" s="1"/>
  <c r="D93" i="11" s="1"/>
  <c r="D94" i="11" s="1"/>
  <c r="D95" i="11" s="1"/>
  <c r="D96" i="11" s="1"/>
  <c r="D97" i="11" s="1"/>
  <c r="D98" i="11" s="1"/>
  <c r="D99" i="11" s="1"/>
  <c r="D100" i="11" s="1"/>
  <c r="D101" i="11" s="1"/>
  <c r="D102" i="11" s="1"/>
  <c r="D103" i="11" s="1"/>
  <c r="D104" i="11" s="1"/>
  <c r="D105" i="11" s="1"/>
  <c r="D106" i="11" s="1"/>
  <c r="D107" i="11" s="1"/>
  <c r="D108" i="11" s="1"/>
  <c r="D109" i="11" s="1"/>
  <c r="D110" i="11" s="1"/>
  <c r="D111" i="11" s="1"/>
  <c r="D112" i="11" s="1"/>
  <c r="D113" i="11" s="1"/>
  <c r="D114" i="11" s="1"/>
  <c r="D115" i="11" s="1"/>
  <c r="D116" i="11" s="1"/>
  <c r="D117" i="11" s="1"/>
  <c r="D118" i="11" s="1"/>
  <c r="D119" i="11" s="1"/>
  <c r="D120" i="11" s="1"/>
  <c r="D121" i="11" s="1"/>
  <c r="D122" i="11" s="1"/>
  <c r="D123" i="11" s="1"/>
  <c r="D124" i="11" s="1"/>
  <c r="D125" i="11" s="1"/>
  <c r="D126" i="11" s="1"/>
  <c r="D127" i="11" s="1"/>
  <c r="D128" i="11" s="1"/>
  <c r="D129" i="11" s="1"/>
  <c r="D130" i="11" s="1"/>
  <c r="D131" i="11" s="1"/>
  <c r="D132" i="11" s="1"/>
  <c r="D133" i="11" s="1"/>
  <c r="D134" i="11" s="1"/>
  <c r="D135" i="11" s="1"/>
  <c r="D136" i="11" s="1"/>
  <c r="D137" i="11" s="1"/>
  <c r="D138" i="11" s="1"/>
  <c r="D139" i="11" s="1"/>
  <c r="D140" i="11" s="1"/>
  <c r="D141" i="11" s="1"/>
  <c r="D142" i="11" s="1"/>
  <c r="D143" i="11" s="1"/>
  <c r="D144" i="11" s="1"/>
  <c r="D145" i="11" s="1"/>
  <c r="D146" i="11" s="1"/>
  <c r="D147" i="11" s="1"/>
  <c r="D148" i="11" s="1"/>
  <c r="D149" i="11" s="1"/>
  <c r="D150" i="11" s="1"/>
  <c r="D151" i="11" s="1"/>
  <c r="D152" i="11" s="1"/>
  <c r="D153" i="11" s="1"/>
  <c r="D154" i="11" s="1"/>
  <c r="D155" i="11" s="1"/>
  <c r="D156" i="11" s="1"/>
  <c r="D157" i="11" s="1"/>
  <c r="D158" i="11" s="1"/>
  <c r="D159" i="11" s="1"/>
  <c r="D160" i="11" s="1"/>
  <c r="D161" i="11" s="1"/>
  <c r="D162" i="11" s="1"/>
  <c r="D163" i="11" s="1"/>
  <c r="D164" i="11" s="1"/>
  <c r="D165" i="11" s="1"/>
  <c r="D166" i="11" s="1"/>
  <c r="D167" i="11" s="1"/>
  <c r="D168" i="11" s="1"/>
  <c r="D169" i="11" s="1"/>
  <c r="D170" i="11" s="1"/>
  <c r="D171" i="11" s="1"/>
  <c r="D172" i="11" s="1"/>
  <c r="D173" i="11" s="1"/>
  <c r="D174" i="11" s="1"/>
  <c r="D175" i="11" s="1"/>
  <c r="D176" i="11" s="1"/>
  <c r="D177" i="11" s="1"/>
  <c r="D178" i="11" s="1"/>
  <c r="D179" i="11" s="1"/>
  <c r="D180" i="11" s="1"/>
  <c r="D181" i="11" s="1"/>
  <c r="D182" i="11" s="1"/>
  <c r="D183" i="11" s="1"/>
  <c r="D184" i="11" s="1"/>
  <c r="D185" i="11" s="1"/>
  <c r="D186" i="11" s="1"/>
  <c r="D187" i="11" s="1"/>
  <c r="D188" i="11" s="1"/>
  <c r="D189" i="11" s="1"/>
  <c r="D190" i="11" s="1"/>
  <c r="D191" i="11" s="1"/>
  <c r="D192" i="11" s="1"/>
  <c r="D193" i="11" s="1"/>
  <c r="D194" i="11" s="1"/>
  <c r="D195" i="11" s="1"/>
  <c r="D196" i="11" s="1"/>
  <c r="D197" i="11" s="1"/>
  <c r="D198" i="11" s="1"/>
  <c r="D199" i="11" s="1"/>
  <c r="D200" i="11" s="1"/>
  <c r="D201" i="11" s="1"/>
  <c r="D202" i="11" s="1"/>
  <c r="D203" i="11" s="1"/>
  <c r="D204" i="11" s="1"/>
  <c r="D205" i="11" s="1"/>
  <c r="D206" i="11" s="1"/>
  <c r="D207" i="11" s="1"/>
  <c r="D208" i="11" s="1"/>
  <c r="D209" i="11" s="1"/>
  <c r="D210" i="11" s="1"/>
  <c r="D211" i="11" s="1"/>
  <c r="D212" i="11" s="1"/>
  <c r="D213" i="11" s="1"/>
  <c r="D214" i="11" s="1"/>
  <c r="D215" i="11" s="1"/>
  <c r="D216" i="11" s="1"/>
  <c r="D217" i="11" s="1"/>
  <c r="D218" i="11" s="1"/>
  <c r="D219" i="11" s="1"/>
  <c r="D220" i="11" s="1"/>
  <c r="D221" i="11" s="1"/>
  <c r="D222" i="11" s="1"/>
  <c r="D223" i="11" s="1"/>
  <c r="D224" i="11" s="1"/>
  <c r="D225" i="11" s="1"/>
  <c r="D226" i="11" s="1"/>
  <c r="D227" i="11" s="1"/>
  <c r="D228" i="11" s="1"/>
  <c r="D229" i="11" s="1"/>
  <c r="D230" i="11" s="1"/>
  <c r="D231" i="11" s="1"/>
  <c r="D232" i="11" s="1"/>
  <c r="D233" i="11" s="1"/>
  <c r="D234" i="11" s="1"/>
  <c r="D235" i="11" s="1"/>
  <c r="D236" i="11" s="1"/>
  <c r="D237" i="11" s="1"/>
  <c r="D238" i="11" s="1"/>
  <c r="D239" i="11" s="1"/>
  <c r="D240" i="11" s="1"/>
  <c r="D241" i="11" s="1"/>
  <c r="D242" i="11" s="1"/>
  <c r="D243" i="11" s="1"/>
  <c r="D244" i="11" s="1"/>
  <c r="D245" i="11" s="1"/>
  <c r="D246" i="11" s="1"/>
  <c r="D247" i="11" s="1"/>
  <c r="D248" i="11" s="1"/>
  <c r="D249" i="11" s="1"/>
  <c r="D250" i="11" s="1"/>
  <c r="D251" i="11" s="1"/>
  <c r="D252" i="11" s="1"/>
  <c r="D253" i="11" s="1"/>
  <c r="D254" i="11" s="1"/>
  <c r="D255" i="11" s="1"/>
  <c r="D256" i="11" s="1"/>
  <c r="D257" i="11" s="1"/>
  <c r="D258" i="11" s="1"/>
  <c r="D259" i="11" s="1"/>
  <c r="D260" i="11" s="1"/>
  <c r="D261" i="11" s="1"/>
  <c r="D262" i="11" s="1"/>
  <c r="D263" i="11" s="1"/>
  <c r="D264" i="11" s="1"/>
  <c r="D265" i="11" s="1"/>
  <c r="D266" i="11" s="1"/>
  <c r="D267" i="11" s="1"/>
  <c r="D268" i="11" s="1"/>
  <c r="D269" i="11" s="1"/>
  <c r="D270" i="11" s="1"/>
  <c r="D271" i="11" s="1"/>
  <c r="D272" i="11" s="1"/>
  <c r="D273" i="11" s="1"/>
  <c r="D274" i="11" s="1"/>
  <c r="D275" i="11" s="1"/>
  <c r="D276" i="11" s="1"/>
  <c r="D277" i="11" s="1"/>
  <c r="D278" i="11" s="1"/>
  <c r="D279" i="11" s="1"/>
  <c r="D280" i="11" s="1"/>
  <c r="D281" i="11" s="1"/>
  <c r="D282" i="11" s="1"/>
  <c r="D283" i="11" s="1"/>
  <c r="D284" i="11" s="1"/>
  <c r="D285" i="11" s="1"/>
  <c r="E10" i="11"/>
  <c r="C13" i="1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E15" i="11"/>
  <c r="I8" i="10"/>
  <c r="I9" i="10" s="1"/>
  <c r="I10" i="10" s="1"/>
  <c r="J9" i="10"/>
  <c r="K9" i="10" s="1"/>
  <c r="G10" i="10"/>
  <c r="C10" i="10"/>
  <c r="C11" i="10" s="1"/>
  <c r="C12" i="10" s="1"/>
  <c r="E10" i="10"/>
  <c r="H11" i="10"/>
  <c r="C8" i="9"/>
  <c r="D8" i="9"/>
  <c r="O8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O95" i="9" s="1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O25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O37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B56" i="9"/>
  <c r="L56" i="9" s="1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C69" i="9"/>
  <c r="O69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C80" i="9"/>
  <c r="D80" i="9"/>
  <c r="E80" i="9"/>
  <c r="F80" i="9"/>
  <c r="G80" i="9"/>
  <c r="H80" i="9"/>
  <c r="I80" i="9"/>
  <c r="J80" i="9"/>
  <c r="K80" i="9"/>
  <c r="L80" i="9"/>
  <c r="M80" i="9"/>
  <c r="N80" i="9"/>
  <c r="O80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C18" i="8"/>
  <c r="D18" i="8"/>
  <c r="E18" i="8"/>
  <c r="G18" i="8"/>
  <c r="H18" i="8"/>
  <c r="I18" i="8"/>
  <c r="C29" i="8"/>
  <c r="C54" i="8" s="1"/>
  <c r="D29" i="8"/>
  <c r="E29" i="8"/>
  <c r="G29" i="8"/>
  <c r="H29" i="8"/>
  <c r="I29" i="8"/>
  <c r="C40" i="8"/>
  <c r="D40" i="8"/>
  <c r="E40" i="8"/>
  <c r="G40" i="8"/>
  <c r="H40" i="8"/>
  <c r="I40" i="8"/>
  <c r="I54" i="8" s="1"/>
  <c r="C51" i="8"/>
  <c r="D51" i="8"/>
  <c r="E51" i="8"/>
  <c r="G51" i="8"/>
  <c r="H51" i="8"/>
  <c r="I51" i="8"/>
  <c r="D54" i="8"/>
  <c r="C56" i="8" s="1"/>
  <c r="E59" i="8"/>
  <c r="I59" i="8"/>
  <c r="E60" i="8"/>
  <c r="C16" i="6"/>
  <c r="D16" i="6"/>
  <c r="E16" i="6"/>
  <c r="G16" i="6"/>
  <c r="H16" i="6"/>
  <c r="I16" i="6"/>
  <c r="C26" i="6"/>
  <c r="D26" i="6"/>
  <c r="E26" i="6"/>
  <c r="G26" i="6"/>
  <c r="H26" i="6"/>
  <c r="I26" i="6"/>
  <c r="C36" i="6"/>
  <c r="D36" i="6"/>
  <c r="E36" i="6"/>
  <c r="G36" i="6"/>
  <c r="H36" i="6"/>
  <c r="I36" i="6"/>
  <c r="G44" i="6"/>
  <c r="C62" i="6"/>
  <c r="D62" i="6"/>
  <c r="E62" i="6"/>
  <c r="C83" i="6"/>
  <c r="D83" i="6"/>
  <c r="E83" i="6"/>
  <c r="A6" i="5"/>
  <c r="A7" i="5" s="1"/>
  <c r="A8" i="5" s="1"/>
  <c r="A9" i="5" s="1"/>
  <c r="A10" i="5" s="1"/>
  <c r="A11" i="5" s="1"/>
  <c r="A12" i="5" s="1"/>
  <c r="A13" i="5" s="1"/>
  <c r="C38" i="5"/>
  <c r="C39" i="5"/>
  <c r="C40" i="5"/>
  <c r="C41" i="5"/>
  <c r="F29" i="12" l="1"/>
  <c r="B30" i="12"/>
  <c r="B31" i="12" s="1"/>
  <c r="B32" i="12" s="1"/>
  <c r="B33" i="12" s="1"/>
  <c r="B34" i="12" s="1"/>
  <c r="B35" i="12" s="1"/>
  <c r="E12" i="11"/>
  <c r="E13" i="11" s="1"/>
  <c r="B13" i="11"/>
  <c r="B16" i="11" s="1"/>
  <c r="E16" i="11" s="1"/>
  <c r="F53" i="12"/>
  <c r="F56" i="12"/>
  <c r="I62" i="8"/>
  <c r="G54" i="8"/>
  <c r="F18" i="12"/>
  <c r="O94" i="9"/>
  <c r="P84" i="9"/>
  <c r="P88" i="9"/>
  <c r="F8" i="9"/>
  <c r="H8" i="9" s="1"/>
  <c r="J8" i="9" s="1"/>
  <c r="L8" i="9" s="1"/>
  <c r="N8" i="9" s="1"/>
  <c r="G57" i="8"/>
  <c r="P28" i="9"/>
  <c r="C56" i="9"/>
  <c r="P12" i="9"/>
  <c r="P76" i="9"/>
  <c r="P36" i="9"/>
  <c r="P80" i="9"/>
  <c r="H56" i="9"/>
  <c r="N56" i="9"/>
  <c r="P48" i="9"/>
  <c r="P20" i="9"/>
  <c r="C57" i="8" s="1"/>
  <c r="P16" i="9"/>
  <c r="E8" i="9"/>
  <c r="C22" i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J10" i="10"/>
  <c r="K10" i="10" s="1"/>
  <c r="L10" i="10" s="1"/>
  <c r="N10" i="10" s="1"/>
  <c r="H54" i="8"/>
  <c r="G56" i="8" s="1"/>
  <c r="E54" i="8"/>
  <c r="E62" i="8" s="1"/>
  <c r="E56" i="9"/>
  <c r="I56" i="9"/>
  <c r="M56" i="9"/>
  <c r="D56" i="9"/>
  <c r="J56" i="9"/>
  <c r="O56" i="9"/>
  <c r="O93" i="9" s="1"/>
  <c r="F56" i="9"/>
  <c r="K56" i="9"/>
  <c r="I44" i="6"/>
  <c r="G47" i="6"/>
  <c r="G64" i="6" s="1"/>
  <c r="P72" i="9"/>
  <c r="P64" i="9"/>
  <c r="G56" i="9"/>
  <c r="P44" i="9"/>
  <c r="P40" i="9"/>
  <c r="P32" i="9"/>
  <c r="P68" i="9"/>
  <c r="P60" i="9"/>
  <c r="P52" i="9"/>
  <c r="P24" i="9"/>
  <c r="J8" i="10"/>
  <c r="K8" i="10" s="1"/>
  <c r="L8" i="10" s="1"/>
  <c r="L9" i="10" s="1"/>
  <c r="N9" i="10" s="1"/>
  <c r="C27" i="11"/>
  <c r="G60" i="8"/>
  <c r="H52" i="12"/>
  <c r="C8" i="2" s="1"/>
  <c r="G8" i="2" s="1"/>
  <c r="F33" i="12"/>
  <c r="F25" i="12"/>
  <c r="F32" i="12"/>
  <c r="F28" i="12"/>
  <c r="F24" i="12"/>
  <c r="B17" i="11"/>
  <c r="F34" i="12"/>
  <c r="E9" i="2" s="1"/>
  <c r="E14" i="2" s="1"/>
  <c r="F30" i="12"/>
  <c r="F26" i="12"/>
  <c r="E12" i="17"/>
  <c r="F12" i="17" s="1"/>
  <c r="G12" i="17"/>
  <c r="D13" i="17"/>
  <c r="F31" i="12"/>
  <c r="F27" i="12"/>
  <c r="F23" i="12"/>
  <c r="G9" i="2" l="1"/>
  <c r="G8" i="9"/>
  <c r="I8" i="9" s="1"/>
  <c r="K8" i="9" s="1"/>
  <c r="M8" i="9" s="1"/>
  <c r="P56" i="9"/>
  <c r="K40" i="1"/>
  <c r="F22" i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F35" i="12"/>
  <c r="B18" i="11"/>
  <c r="E17" i="11"/>
  <c r="H53" i="12"/>
  <c r="F55" i="12"/>
  <c r="C60" i="8" s="1"/>
  <c r="C28" i="11"/>
  <c r="H27" i="11"/>
  <c r="N8" i="10"/>
  <c r="L11" i="10"/>
  <c r="E13" i="17"/>
  <c r="F13" i="17" s="1"/>
  <c r="G13" i="17" s="1"/>
  <c r="D14" i="17"/>
  <c r="I47" i="6"/>
  <c r="I64" i="6" s="1"/>
  <c r="P8" i="9" l="1"/>
  <c r="E14" i="17"/>
  <c r="F14" i="17" s="1"/>
  <c r="D15" i="17"/>
  <c r="C29" i="11"/>
  <c r="H28" i="11"/>
  <c r="N11" i="10"/>
  <c r="O8" i="10"/>
  <c r="O9" i="10" s="1"/>
  <c r="O10" i="10" s="1"/>
  <c r="O96" i="9" s="1"/>
  <c r="O97" i="9" s="1"/>
  <c r="O100" i="9" s="1"/>
  <c r="F6" i="2" s="1"/>
  <c r="B19" i="11"/>
  <c r="E18" i="11"/>
  <c r="G14" i="17" l="1"/>
  <c r="C30" i="11"/>
  <c r="H29" i="11"/>
  <c r="E15" i="17"/>
  <c r="F15" i="17" s="1"/>
  <c r="D16" i="17"/>
  <c r="B20" i="11"/>
  <c r="E19" i="11"/>
  <c r="G15" i="17" l="1"/>
  <c r="H30" i="11"/>
  <c r="C31" i="11"/>
  <c r="B21" i="11"/>
  <c r="E20" i="11"/>
  <c r="E16" i="17"/>
  <c r="F16" i="17" s="1"/>
  <c r="D17" i="17"/>
  <c r="G16" i="17" l="1"/>
  <c r="C32" i="11"/>
  <c r="H31" i="11"/>
  <c r="E17" i="17"/>
  <c r="F17" i="17" s="1"/>
  <c r="D18" i="17"/>
  <c r="B22" i="11"/>
  <c r="E21" i="11"/>
  <c r="B23" i="11" l="1"/>
  <c r="E22" i="11"/>
  <c r="E18" i="17"/>
  <c r="F18" i="17" s="1"/>
  <c r="D19" i="17"/>
  <c r="C33" i="11"/>
  <c r="H32" i="11"/>
  <c r="G17" i="17"/>
  <c r="G18" i="17" l="1"/>
  <c r="B24" i="11"/>
  <c r="E23" i="11"/>
  <c r="C34" i="11"/>
  <c r="H33" i="11"/>
  <c r="E19" i="17"/>
  <c r="F19" i="17" s="1"/>
  <c r="D20" i="17"/>
  <c r="G19" i="17" l="1"/>
  <c r="E20" i="17"/>
  <c r="F20" i="17" s="1"/>
  <c r="D21" i="17"/>
  <c r="H34" i="11"/>
  <c r="C35" i="11"/>
  <c r="B25" i="11"/>
  <c r="E24" i="11"/>
  <c r="B26" i="11" l="1"/>
  <c r="E25" i="11"/>
  <c r="E21" i="17"/>
  <c r="F21" i="17" s="1"/>
  <c r="D22" i="17"/>
  <c r="C36" i="11"/>
  <c r="H35" i="11"/>
  <c r="G20" i="17"/>
  <c r="G21" i="17" l="1"/>
  <c r="E22" i="17"/>
  <c r="F22" i="17" s="1"/>
  <c r="D23" i="17"/>
  <c r="B27" i="11"/>
  <c r="E26" i="11"/>
  <c r="C37" i="11"/>
  <c r="H36" i="11"/>
  <c r="G22" i="17" l="1"/>
  <c r="C38" i="11"/>
  <c r="H37" i="11"/>
  <c r="G27" i="11"/>
  <c r="E27" i="11"/>
  <c r="B28" i="11"/>
  <c r="E23" i="17"/>
  <c r="F23" i="17" s="1"/>
  <c r="D24" i="17"/>
  <c r="G23" i="17" l="1"/>
  <c r="C39" i="11"/>
  <c r="H38" i="11"/>
  <c r="E28" i="11"/>
  <c r="B29" i="11"/>
  <c r="G28" i="11"/>
  <c r="E24" i="17"/>
  <c r="F24" i="17" s="1"/>
  <c r="D25" i="17"/>
  <c r="F27" i="11"/>
  <c r="G24" i="17" l="1"/>
  <c r="F28" i="11"/>
  <c r="E25" i="17"/>
  <c r="F25" i="17" s="1"/>
  <c r="D26" i="17"/>
  <c r="B30" i="11"/>
  <c r="E29" i="11"/>
  <c r="G29" i="11"/>
  <c r="C40" i="11"/>
  <c r="H39" i="11"/>
  <c r="G25" i="17" l="1"/>
  <c r="C41" i="11"/>
  <c r="H40" i="11"/>
  <c r="E30" i="11"/>
  <c r="B31" i="11"/>
  <c r="G30" i="11"/>
  <c r="E26" i="17"/>
  <c r="F26" i="17" s="1"/>
  <c r="D27" i="17"/>
  <c r="F29" i="11"/>
  <c r="G26" i="17" l="1"/>
  <c r="E27" i="17"/>
  <c r="F27" i="17" s="1"/>
  <c r="D28" i="17"/>
  <c r="C42" i="11"/>
  <c r="H41" i="11"/>
  <c r="F30" i="11"/>
  <c r="E31" i="11"/>
  <c r="B32" i="11"/>
  <c r="G31" i="11"/>
  <c r="G27" i="17" l="1"/>
  <c r="F31" i="11"/>
  <c r="E28" i="17"/>
  <c r="F28" i="17" s="1"/>
  <c r="D29" i="17"/>
  <c r="B33" i="11"/>
  <c r="E32" i="11"/>
  <c r="G32" i="11"/>
  <c r="C43" i="11"/>
  <c r="H42" i="11"/>
  <c r="G28" i="17" l="1"/>
  <c r="B34" i="11"/>
  <c r="E33" i="11"/>
  <c r="G33" i="11"/>
  <c r="F32" i="11"/>
  <c r="C44" i="11"/>
  <c r="H43" i="11"/>
  <c r="E29" i="17"/>
  <c r="F29" i="17" s="1"/>
  <c r="D30" i="17"/>
  <c r="G29" i="17" l="1"/>
  <c r="E34" i="11"/>
  <c r="B35" i="11"/>
  <c r="G34" i="11"/>
  <c r="E30" i="17"/>
  <c r="F30" i="17" s="1"/>
  <c r="D31" i="17"/>
  <c r="C45" i="11"/>
  <c r="H44" i="11"/>
  <c r="F33" i="11"/>
  <c r="G30" i="17" l="1"/>
  <c r="F34" i="11"/>
  <c r="C46" i="11"/>
  <c r="H45" i="11"/>
  <c r="B36" i="11"/>
  <c r="E35" i="11"/>
  <c r="G35" i="11"/>
  <c r="E31" i="17"/>
  <c r="F31" i="17" s="1"/>
  <c r="D32" i="17"/>
  <c r="G31" i="17" l="1"/>
  <c r="E32" i="17"/>
  <c r="F32" i="17" s="1"/>
  <c r="D33" i="17"/>
  <c r="F35" i="11"/>
  <c r="C47" i="11"/>
  <c r="H46" i="11"/>
  <c r="B37" i="11"/>
  <c r="E36" i="11"/>
  <c r="G36" i="11"/>
  <c r="G32" i="17" l="1"/>
  <c r="F36" i="11"/>
  <c r="E33" i="17"/>
  <c r="F33" i="17" s="1"/>
  <c r="D34" i="17"/>
  <c r="E37" i="11"/>
  <c r="B38" i="11"/>
  <c r="G37" i="11"/>
  <c r="C48" i="11"/>
  <c r="H47" i="11"/>
  <c r="G33" i="17" l="1"/>
  <c r="E38" i="11"/>
  <c r="B39" i="11"/>
  <c r="G38" i="11"/>
  <c r="E34" i="17"/>
  <c r="F34" i="17" s="1"/>
  <c r="D35" i="17"/>
  <c r="F37" i="11"/>
  <c r="C49" i="11"/>
  <c r="H48" i="11"/>
  <c r="G34" i="17" l="1"/>
  <c r="E35" i="17"/>
  <c r="F35" i="17" s="1"/>
  <c r="D36" i="17"/>
  <c r="C50" i="11"/>
  <c r="H49" i="11"/>
  <c r="F38" i="11"/>
  <c r="B40" i="11"/>
  <c r="E39" i="11"/>
  <c r="G39" i="11"/>
  <c r="G35" i="17" l="1"/>
  <c r="E36" i="17"/>
  <c r="F36" i="17" s="1"/>
  <c r="D37" i="17"/>
  <c r="E40" i="11"/>
  <c r="B41" i="11"/>
  <c r="G40" i="11"/>
  <c r="F39" i="11"/>
  <c r="C51" i="11"/>
  <c r="H50" i="11"/>
  <c r="G36" i="17" l="1"/>
  <c r="E37" i="17"/>
  <c r="F37" i="17" s="1"/>
  <c r="G37" i="17" s="1"/>
  <c r="D38" i="17"/>
  <c r="E41" i="11"/>
  <c r="B42" i="11"/>
  <c r="G41" i="11"/>
  <c r="C52" i="11"/>
  <c r="H51" i="11"/>
  <c r="F40" i="11"/>
  <c r="C53" i="11" l="1"/>
  <c r="H52" i="11"/>
  <c r="F41" i="11"/>
  <c r="E38" i="17"/>
  <c r="F38" i="17" s="1"/>
  <c r="D39" i="17"/>
  <c r="E42" i="11"/>
  <c r="B43" i="11"/>
  <c r="G42" i="11"/>
  <c r="G38" i="17" l="1"/>
  <c r="E43" i="11"/>
  <c r="B44" i="11"/>
  <c r="G43" i="11"/>
  <c r="F42" i="11"/>
  <c r="E39" i="17"/>
  <c r="F39" i="17" s="1"/>
  <c r="D40" i="17"/>
  <c r="C54" i="11"/>
  <c r="H53" i="11"/>
  <c r="G39" i="17" l="1"/>
  <c r="E40" i="17"/>
  <c r="F40" i="17" s="1"/>
  <c r="D41" i="17"/>
  <c r="C55" i="11"/>
  <c r="H54" i="11"/>
  <c r="E44" i="11"/>
  <c r="B45" i="11"/>
  <c r="G44" i="11"/>
  <c r="F43" i="11"/>
  <c r="E41" i="17" l="1"/>
  <c r="F41" i="17" s="1"/>
  <c r="D42" i="17"/>
  <c r="G40" i="17"/>
  <c r="F44" i="11"/>
  <c r="B46" i="11"/>
  <c r="E45" i="11"/>
  <c r="G45" i="11"/>
  <c r="C56" i="11"/>
  <c r="H55" i="11"/>
  <c r="G41" i="17" l="1"/>
  <c r="F45" i="11"/>
  <c r="E42" i="17"/>
  <c r="F42" i="17" s="1"/>
  <c r="D43" i="17"/>
  <c r="C57" i="11"/>
  <c r="H56" i="11"/>
  <c r="E46" i="11"/>
  <c r="B47" i="11"/>
  <c r="G46" i="11"/>
  <c r="G42" i="17" l="1"/>
  <c r="C58" i="11"/>
  <c r="H57" i="11"/>
  <c r="E47" i="11"/>
  <c r="B48" i="11"/>
  <c r="G47" i="11"/>
  <c r="F46" i="11"/>
  <c r="E43" i="17"/>
  <c r="F43" i="17" s="1"/>
  <c r="D44" i="17"/>
  <c r="G43" i="17" l="1"/>
  <c r="B49" i="11"/>
  <c r="E48" i="11"/>
  <c r="G48" i="11"/>
  <c r="C59" i="11"/>
  <c r="H58" i="11"/>
  <c r="F47" i="11"/>
  <c r="E44" i="17"/>
  <c r="F44" i="17" s="1"/>
  <c r="D45" i="17"/>
  <c r="G44" i="17" l="1"/>
  <c r="C60" i="11"/>
  <c r="H59" i="11"/>
  <c r="E45" i="17"/>
  <c r="F45" i="17" s="1"/>
  <c r="D46" i="17"/>
  <c r="B50" i="11"/>
  <c r="E49" i="11"/>
  <c r="G49" i="11"/>
  <c r="F48" i="11"/>
  <c r="G45" i="17" l="1"/>
  <c r="E46" i="17"/>
  <c r="F46" i="17" s="1"/>
  <c r="D47" i="17"/>
  <c r="E50" i="11"/>
  <c r="B51" i="11"/>
  <c r="G50" i="11"/>
  <c r="F49" i="11"/>
  <c r="C61" i="11"/>
  <c r="H60" i="11"/>
  <c r="G46" i="17" l="1"/>
  <c r="E47" i="17"/>
  <c r="F47" i="17" s="1"/>
  <c r="D48" i="17"/>
  <c r="F50" i="11"/>
  <c r="C62" i="11"/>
  <c r="H61" i="11"/>
  <c r="B52" i="11"/>
  <c r="E51" i="11"/>
  <c r="G51" i="11"/>
  <c r="F51" i="11" l="1"/>
  <c r="E48" i="17"/>
  <c r="F48" i="17" s="1"/>
  <c r="D49" i="17"/>
  <c r="C63" i="11"/>
  <c r="H62" i="11"/>
  <c r="G47" i="17"/>
  <c r="B53" i="11"/>
  <c r="E52" i="11"/>
  <c r="G52" i="11"/>
  <c r="E49" i="17" l="1"/>
  <c r="F49" i="17" s="1"/>
  <c r="D50" i="17"/>
  <c r="G48" i="17"/>
  <c r="B54" i="11"/>
  <c r="E53" i="11"/>
  <c r="G53" i="11"/>
  <c r="F52" i="11"/>
  <c r="C64" i="11"/>
  <c r="H63" i="11"/>
  <c r="G49" i="17" l="1"/>
  <c r="E54" i="11"/>
  <c r="B55" i="11"/>
  <c r="G54" i="11"/>
  <c r="C65" i="11"/>
  <c r="H64" i="11"/>
  <c r="F53" i="11"/>
  <c r="E50" i="17"/>
  <c r="F50" i="17" s="1"/>
  <c r="D51" i="17"/>
  <c r="G50" i="17" l="1"/>
  <c r="E51" i="17"/>
  <c r="F51" i="17" s="1"/>
  <c r="D52" i="17"/>
  <c r="C66" i="11"/>
  <c r="H65" i="11"/>
  <c r="B56" i="11"/>
  <c r="E55" i="11"/>
  <c r="G55" i="11"/>
  <c r="F54" i="11"/>
  <c r="G51" i="17" l="1"/>
  <c r="C67" i="11"/>
  <c r="H66" i="11"/>
  <c r="F55" i="11"/>
  <c r="E52" i="17"/>
  <c r="F52" i="17" s="1"/>
  <c r="G52" i="17" s="1"/>
  <c r="D53" i="17"/>
  <c r="B57" i="11"/>
  <c r="E56" i="11"/>
  <c r="G56" i="11"/>
  <c r="B58" i="11" l="1"/>
  <c r="E57" i="11"/>
  <c r="G57" i="11"/>
  <c r="E53" i="17"/>
  <c r="F53" i="17" s="1"/>
  <c r="D54" i="17"/>
  <c r="F56" i="11"/>
  <c r="C68" i="11"/>
  <c r="H67" i="11"/>
  <c r="G53" i="17" l="1"/>
  <c r="E58" i="11"/>
  <c r="B59" i="11"/>
  <c r="G58" i="11"/>
  <c r="C69" i="11"/>
  <c r="H68" i="11"/>
  <c r="E54" i="17"/>
  <c r="F54" i="17" s="1"/>
  <c r="D55" i="17"/>
  <c r="F57" i="11"/>
  <c r="G54" i="17" l="1"/>
  <c r="C70" i="11"/>
  <c r="H69" i="11"/>
  <c r="B60" i="11"/>
  <c r="E59" i="11"/>
  <c r="G59" i="11"/>
  <c r="E55" i="17"/>
  <c r="F55" i="17" s="1"/>
  <c r="D56" i="17"/>
  <c r="F58" i="11"/>
  <c r="H55" i="17" l="1"/>
  <c r="G55" i="17"/>
  <c r="F59" i="11"/>
  <c r="D57" i="17"/>
  <c r="E56" i="17"/>
  <c r="B61" i="11"/>
  <c r="E60" i="11"/>
  <c r="G60" i="11"/>
  <c r="C71" i="11"/>
  <c r="H70" i="11"/>
  <c r="F60" i="11" l="1"/>
  <c r="F56" i="17"/>
  <c r="C72" i="11"/>
  <c r="H71" i="11"/>
  <c r="D58" i="17"/>
  <c r="E57" i="17"/>
  <c r="E61" i="11"/>
  <c r="B62" i="11"/>
  <c r="G61" i="11"/>
  <c r="D59" i="17" l="1"/>
  <c r="E58" i="17"/>
  <c r="E62" i="11"/>
  <c r="B63" i="11"/>
  <c r="G62" i="11"/>
  <c r="F61" i="11"/>
  <c r="C73" i="11"/>
  <c r="H72" i="11"/>
  <c r="F57" i="17"/>
  <c r="G56" i="17"/>
  <c r="B64" i="11" l="1"/>
  <c r="E63" i="11"/>
  <c r="G63" i="11"/>
  <c r="F58" i="17"/>
  <c r="G57" i="17"/>
  <c r="C74" i="11"/>
  <c r="H73" i="11"/>
  <c r="F62" i="11"/>
  <c r="D60" i="17"/>
  <c r="E59" i="17"/>
  <c r="F59" i="17" l="1"/>
  <c r="G58" i="17"/>
  <c r="D61" i="17"/>
  <c r="E60" i="17"/>
  <c r="F63" i="11"/>
  <c r="C75" i="11"/>
  <c r="H74" i="11"/>
  <c r="E64" i="11"/>
  <c r="B65" i="11"/>
  <c r="G64" i="11"/>
  <c r="D62" i="17" l="1"/>
  <c r="E61" i="17"/>
  <c r="C76" i="11"/>
  <c r="H75" i="11"/>
  <c r="E65" i="11"/>
  <c r="B66" i="11"/>
  <c r="G65" i="11"/>
  <c r="F60" i="17"/>
  <c r="G59" i="17"/>
  <c r="F64" i="11"/>
  <c r="B67" i="11" l="1"/>
  <c r="E66" i="11"/>
  <c r="G66" i="11"/>
  <c r="C77" i="11"/>
  <c r="H76" i="11"/>
  <c r="D63" i="17"/>
  <c r="E62" i="17"/>
  <c r="F61" i="17"/>
  <c r="G60" i="17"/>
  <c r="F65" i="11"/>
  <c r="D64" i="17" l="1"/>
  <c r="E63" i="17"/>
  <c r="E67" i="11"/>
  <c r="B68" i="11"/>
  <c r="G67" i="11"/>
  <c r="F62" i="17"/>
  <c r="G61" i="17"/>
  <c r="F66" i="11"/>
  <c r="C78" i="11"/>
  <c r="H77" i="11"/>
  <c r="E68" i="11" l="1"/>
  <c r="B69" i="11"/>
  <c r="G68" i="11"/>
  <c r="F63" i="17"/>
  <c r="G62" i="17"/>
  <c r="F67" i="11"/>
  <c r="C79" i="11"/>
  <c r="H78" i="11"/>
  <c r="D65" i="17"/>
  <c r="E64" i="17"/>
  <c r="F64" i="17" l="1"/>
  <c r="G63" i="17"/>
  <c r="E69" i="11"/>
  <c r="B70" i="11"/>
  <c r="G69" i="11"/>
  <c r="C80" i="11"/>
  <c r="H79" i="11"/>
  <c r="D66" i="17"/>
  <c r="E65" i="17"/>
  <c r="F68" i="11"/>
  <c r="D67" i="17" l="1"/>
  <c r="E66" i="17"/>
  <c r="E70" i="11"/>
  <c r="B71" i="11"/>
  <c r="G70" i="11"/>
  <c r="C81" i="11"/>
  <c r="H80" i="11"/>
  <c r="F69" i="11"/>
  <c r="F65" i="17"/>
  <c r="G64" i="17"/>
  <c r="F66" i="17" l="1"/>
  <c r="G65" i="17"/>
  <c r="C82" i="11"/>
  <c r="H81" i="11"/>
  <c r="E71" i="11"/>
  <c r="B72" i="11"/>
  <c r="G71" i="11"/>
  <c r="C39" i="6"/>
  <c r="F70" i="11"/>
  <c r="E67" i="17"/>
  <c r="C40" i="6"/>
  <c r="E72" i="11" l="1"/>
  <c r="B73" i="11"/>
  <c r="G72" i="11"/>
  <c r="C83" i="11"/>
  <c r="H82" i="11"/>
  <c r="C44" i="6"/>
  <c r="C47" i="6" s="1"/>
  <c r="C64" i="6" s="1"/>
  <c r="F71" i="11"/>
  <c r="D40" i="6"/>
  <c r="H40" i="6"/>
  <c r="H39" i="6"/>
  <c r="D39" i="6"/>
  <c r="F67" i="17"/>
  <c r="G66" i="17"/>
  <c r="D44" i="6" l="1"/>
  <c r="D47" i="6" s="1"/>
  <c r="D64" i="6" s="1"/>
  <c r="D85" i="6" s="1"/>
  <c r="H44" i="6"/>
  <c r="H47" i="6" s="1"/>
  <c r="C85" i="6"/>
  <c r="C84" i="11"/>
  <c r="H83" i="11"/>
  <c r="B74" i="11"/>
  <c r="E73" i="11"/>
  <c r="G73" i="11"/>
  <c r="H67" i="17"/>
  <c r="E40" i="6" s="1"/>
  <c r="G67" i="17"/>
  <c r="E39" i="6"/>
  <c r="F72" i="11"/>
  <c r="H64" i="6" l="1"/>
  <c r="C29" i="5" s="1"/>
  <c r="F73" i="11"/>
  <c r="C85" i="11"/>
  <c r="H84" i="11"/>
  <c r="E44" i="6"/>
  <c r="E47" i="6" s="1"/>
  <c r="E64" i="6" s="1"/>
  <c r="B75" i="11"/>
  <c r="E74" i="11"/>
  <c r="G74" i="11"/>
  <c r="E75" i="11" l="1"/>
  <c r="B76" i="11"/>
  <c r="G75" i="11"/>
  <c r="E85" i="6"/>
  <c r="F74" i="11"/>
  <c r="C86" i="11"/>
  <c r="H85" i="11"/>
  <c r="C87" i="11" l="1"/>
  <c r="H86" i="11"/>
  <c r="E76" i="11"/>
  <c r="B77" i="11"/>
  <c r="G76" i="11"/>
  <c r="F75" i="11"/>
  <c r="C88" i="11" l="1"/>
  <c r="H87" i="11"/>
  <c r="E77" i="11"/>
  <c r="B78" i="11"/>
  <c r="G77" i="11"/>
  <c r="F76" i="11"/>
  <c r="E78" i="11" l="1"/>
  <c r="B79" i="11"/>
  <c r="G78" i="11"/>
  <c r="C89" i="11"/>
  <c r="H88" i="11"/>
  <c r="F77" i="11"/>
  <c r="E79" i="11" l="1"/>
  <c r="B80" i="11"/>
  <c r="G79" i="11"/>
  <c r="F78" i="11"/>
  <c r="C90" i="11"/>
  <c r="H89" i="11"/>
  <c r="C91" i="11" l="1"/>
  <c r="H90" i="11"/>
  <c r="E80" i="11"/>
  <c r="B81" i="11"/>
  <c r="G80" i="11"/>
  <c r="F79" i="11"/>
  <c r="C92" i="11" l="1"/>
  <c r="H91" i="11"/>
  <c r="F80" i="11"/>
  <c r="B82" i="11"/>
  <c r="E81" i="11"/>
  <c r="G81" i="11"/>
  <c r="B83" i="11" l="1"/>
  <c r="E82" i="11"/>
  <c r="G82" i="11"/>
  <c r="C93" i="11"/>
  <c r="H92" i="11"/>
  <c r="F81" i="11"/>
  <c r="F82" i="11" l="1"/>
  <c r="E83" i="11"/>
  <c r="B84" i="11"/>
  <c r="G83" i="11"/>
  <c r="C94" i="11"/>
  <c r="H93" i="11"/>
  <c r="E84" i="11" l="1"/>
  <c r="B85" i="11"/>
  <c r="G84" i="11"/>
  <c r="C95" i="11"/>
  <c r="H94" i="11"/>
  <c r="F83" i="11"/>
  <c r="C96" i="11" l="1"/>
  <c r="H95" i="11"/>
  <c r="E85" i="11"/>
  <c r="B86" i="11"/>
  <c r="G85" i="11"/>
  <c r="F84" i="11"/>
  <c r="E86" i="11" l="1"/>
  <c r="B87" i="11"/>
  <c r="G86" i="11"/>
  <c r="C97" i="11"/>
  <c r="H96" i="11"/>
  <c r="F85" i="11"/>
  <c r="E87" i="11" l="1"/>
  <c r="B88" i="11"/>
  <c r="G87" i="11"/>
  <c r="F86" i="11"/>
  <c r="C98" i="11"/>
  <c r="H97" i="11"/>
  <c r="C99" i="11" l="1"/>
  <c r="H98" i="11"/>
  <c r="E88" i="11"/>
  <c r="B89" i="11"/>
  <c r="G88" i="11"/>
  <c r="F87" i="11"/>
  <c r="C100" i="11" l="1"/>
  <c r="H99" i="11"/>
  <c r="F88" i="11"/>
  <c r="B90" i="11"/>
  <c r="E89" i="11"/>
  <c r="G89" i="11"/>
  <c r="F89" i="11" l="1"/>
  <c r="B91" i="11"/>
  <c r="E90" i="11"/>
  <c r="G90" i="11"/>
  <c r="C101" i="11"/>
  <c r="H100" i="11"/>
  <c r="E91" i="11" l="1"/>
  <c r="B92" i="11"/>
  <c r="G91" i="11"/>
  <c r="C102" i="11"/>
  <c r="H101" i="11"/>
  <c r="F90" i="11"/>
  <c r="E92" i="11" l="1"/>
  <c r="B93" i="11"/>
  <c r="G92" i="11"/>
  <c r="C103" i="11"/>
  <c r="H102" i="11"/>
  <c r="F91" i="11"/>
  <c r="C104" i="11" l="1"/>
  <c r="H103" i="11"/>
  <c r="E93" i="11"/>
  <c r="B94" i="11"/>
  <c r="G93" i="11"/>
  <c r="F92" i="11"/>
  <c r="E94" i="11" l="1"/>
  <c r="B95" i="11"/>
  <c r="G94" i="11"/>
  <c r="C105" i="11"/>
  <c r="H104" i="11"/>
  <c r="F93" i="11"/>
  <c r="E95" i="11" l="1"/>
  <c r="B96" i="11"/>
  <c r="G95" i="11"/>
  <c r="F94" i="11"/>
  <c r="C106" i="11"/>
  <c r="H105" i="11"/>
  <c r="C107" i="11" l="1"/>
  <c r="H106" i="11"/>
  <c r="E96" i="11"/>
  <c r="B97" i="11"/>
  <c r="G96" i="11"/>
  <c r="F95" i="11"/>
  <c r="F96" i="11" l="1"/>
  <c r="C108" i="11"/>
  <c r="H107" i="11"/>
  <c r="B98" i="11"/>
  <c r="E97" i="11"/>
  <c r="G97" i="11"/>
  <c r="F97" i="11" l="1"/>
  <c r="B99" i="11"/>
  <c r="E98" i="11"/>
  <c r="G98" i="11"/>
  <c r="C109" i="11"/>
  <c r="H108" i="11"/>
  <c r="E99" i="11" l="1"/>
  <c r="B100" i="11"/>
  <c r="G99" i="11"/>
  <c r="C110" i="11"/>
  <c r="H109" i="11"/>
  <c r="F98" i="11"/>
  <c r="E100" i="11" l="1"/>
  <c r="B101" i="11"/>
  <c r="G100" i="11"/>
  <c r="C111" i="11"/>
  <c r="H110" i="11"/>
  <c r="F99" i="11"/>
  <c r="C112" i="11" l="1"/>
  <c r="H111" i="11"/>
  <c r="E101" i="11"/>
  <c r="B102" i="11"/>
  <c r="G101" i="11"/>
  <c r="F100" i="11"/>
  <c r="E102" i="11" l="1"/>
  <c r="B103" i="11"/>
  <c r="G102" i="11"/>
  <c r="C113" i="11"/>
  <c r="H112" i="11"/>
  <c r="F101" i="11"/>
  <c r="E103" i="11" l="1"/>
  <c r="B104" i="11"/>
  <c r="G103" i="11"/>
  <c r="F102" i="11"/>
  <c r="C114" i="11"/>
  <c r="H113" i="11"/>
  <c r="C115" i="11" l="1"/>
  <c r="H114" i="11"/>
  <c r="E104" i="11"/>
  <c r="B105" i="11"/>
  <c r="G104" i="11"/>
  <c r="F103" i="11"/>
  <c r="C116" i="11" l="1"/>
  <c r="H115" i="11"/>
  <c r="F104" i="11"/>
  <c r="B106" i="11"/>
  <c r="E105" i="11"/>
  <c r="G105" i="11"/>
  <c r="B107" i="11" l="1"/>
  <c r="E106" i="11"/>
  <c r="G106" i="11"/>
  <c r="F105" i="11"/>
  <c r="C117" i="11"/>
  <c r="H116" i="11"/>
  <c r="F106" i="11" l="1"/>
  <c r="E107" i="11"/>
  <c r="B108" i="11"/>
  <c r="G107" i="11"/>
  <c r="C118" i="11"/>
  <c r="H117" i="11"/>
  <c r="C119" i="11" l="1"/>
  <c r="H118" i="11"/>
  <c r="F107" i="11"/>
  <c r="E108" i="11"/>
  <c r="B109" i="11"/>
  <c r="G108" i="11"/>
  <c r="E109" i="11" l="1"/>
  <c r="B110" i="11"/>
  <c r="G109" i="11"/>
  <c r="F108" i="11"/>
  <c r="C120" i="11"/>
  <c r="H119" i="11"/>
  <c r="E110" i="11" l="1"/>
  <c r="B111" i="11"/>
  <c r="G110" i="11"/>
  <c r="C121" i="11"/>
  <c r="H120" i="11"/>
  <c r="F109" i="11"/>
  <c r="E111" i="11" l="1"/>
  <c r="B112" i="11"/>
  <c r="G111" i="11"/>
  <c r="F110" i="11"/>
  <c r="C122" i="11"/>
  <c r="H121" i="11"/>
  <c r="C123" i="11" l="1"/>
  <c r="H122" i="11"/>
  <c r="E112" i="11"/>
  <c r="B113" i="11"/>
  <c r="G112" i="11"/>
  <c r="F111" i="11"/>
  <c r="F112" i="11" l="1"/>
  <c r="B114" i="11"/>
  <c r="E113" i="11"/>
  <c r="G113" i="11"/>
  <c r="C124" i="11"/>
  <c r="H123" i="11"/>
  <c r="B115" i="11" l="1"/>
  <c r="E114" i="11"/>
  <c r="G114" i="11"/>
  <c r="C125" i="11"/>
  <c r="H124" i="11"/>
  <c r="F113" i="11"/>
  <c r="F114" i="11" l="1"/>
  <c r="E115" i="11"/>
  <c r="B116" i="11"/>
  <c r="G115" i="11"/>
  <c r="C126" i="11"/>
  <c r="H125" i="11"/>
  <c r="F115" i="11" l="1"/>
  <c r="E116" i="11"/>
  <c r="B117" i="11"/>
  <c r="G116" i="11"/>
  <c r="C127" i="11"/>
  <c r="H126" i="11"/>
  <c r="F116" i="11" l="1"/>
  <c r="C128" i="11"/>
  <c r="H127" i="11"/>
  <c r="E117" i="11"/>
  <c r="B118" i="11"/>
  <c r="G117" i="11"/>
  <c r="E118" i="11" l="1"/>
  <c r="B119" i="11"/>
  <c r="G118" i="11"/>
  <c r="F117" i="11"/>
  <c r="C129" i="11"/>
  <c r="H128" i="11"/>
  <c r="E119" i="11" l="1"/>
  <c r="B120" i="11"/>
  <c r="G119" i="11"/>
  <c r="C130" i="11"/>
  <c r="H129" i="11"/>
  <c r="F118" i="11"/>
  <c r="E120" i="11" l="1"/>
  <c r="B121" i="11"/>
  <c r="G120" i="11"/>
  <c r="C131" i="11"/>
  <c r="H130" i="11"/>
  <c r="F119" i="11"/>
  <c r="C132" i="11" l="1"/>
  <c r="H131" i="11"/>
  <c r="B122" i="11"/>
  <c r="E121" i="11"/>
  <c r="G121" i="11"/>
  <c r="F120" i="11"/>
  <c r="F121" i="11" l="1"/>
  <c r="C133" i="11"/>
  <c r="H132" i="11"/>
  <c r="B123" i="11"/>
  <c r="E122" i="11"/>
  <c r="G122" i="11"/>
  <c r="C134" i="11" l="1"/>
  <c r="H133" i="11"/>
  <c r="F122" i="11"/>
  <c r="E123" i="11"/>
  <c r="B124" i="11"/>
  <c r="G123" i="11"/>
  <c r="E124" i="11" l="1"/>
  <c r="B125" i="11"/>
  <c r="G124" i="11"/>
  <c r="F123" i="11"/>
  <c r="C135" i="11"/>
  <c r="H134" i="11"/>
  <c r="C136" i="11" l="1"/>
  <c r="H135" i="11"/>
  <c r="E125" i="11"/>
  <c r="B126" i="11"/>
  <c r="G125" i="11"/>
  <c r="F124" i="11"/>
  <c r="E126" i="11" l="1"/>
  <c r="B127" i="11"/>
  <c r="G126" i="11"/>
  <c r="C137" i="11"/>
  <c r="H136" i="11"/>
  <c r="F125" i="11"/>
  <c r="C138" i="11" l="1"/>
  <c r="H137" i="11"/>
  <c r="E127" i="11"/>
  <c r="B128" i="11"/>
  <c r="G127" i="11"/>
  <c r="F126" i="11"/>
  <c r="F127" i="11" l="1"/>
  <c r="E128" i="11"/>
  <c r="B129" i="11"/>
  <c r="G128" i="11"/>
  <c r="C139" i="11"/>
  <c r="H138" i="11"/>
  <c r="F128" i="11" l="1"/>
  <c r="B130" i="11"/>
  <c r="E129" i="11"/>
  <c r="G129" i="11"/>
  <c r="C140" i="11"/>
  <c r="H139" i="11"/>
  <c r="B131" i="11" l="1"/>
  <c r="E130" i="11"/>
  <c r="G130" i="11"/>
  <c r="C141" i="11"/>
  <c r="H140" i="11"/>
  <c r="F129" i="11"/>
  <c r="F130" i="11" l="1"/>
  <c r="C142" i="11"/>
  <c r="H141" i="11"/>
  <c r="E131" i="11"/>
  <c r="B132" i="11"/>
  <c r="G131" i="11"/>
  <c r="C143" i="11" l="1"/>
  <c r="H142" i="11"/>
  <c r="F131" i="11"/>
  <c r="E132" i="11"/>
  <c r="B133" i="11"/>
  <c r="G132" i="11"/>
  <c r="B134" i="11" l="1"/>
  <c r="E133" i="11"/>
  <c r="G133" i="11"/>
  <c r="F132" i="11"/>
  <c r="C144" i="11"/>
  <c r="H143" i="11"/>
  <c r="F133" i="11" l="1"/>
  <c r="C145" i="11"/>
  <c r="H144" i="11"/>
  <c r="E134" i="11"/>
  <c r="B135" i="11"/>
  <c r="G134" i="11"/>
  <c r="F134" i="11" l="1"/>
  <c r="B136" i="11"/>
  <c r="E135" i="11"/>
  <c r="G135" i="11"/>
  <c r="C146" i="11"/>
  <c r="H145" i="11"/>
  <c r="E136" i="11" l="1"/>
  <c r="B137" i="11"/>
  <c r="G136" i="11"/>
  <c r="F135" i="11"/>
  <c r="C147" i="11"/>
  <c r="H146" i="11"/>
  <c r="C148" i="11" l="1"/>
  <c r="H147" i="11"/>
  <c r="E137" i="11"/>
  <c r="B138" i="11"/>
  <c r="G137" i="11"/>
  <c r="F136" i="11"/>
  <c r="B139" i="11" l="1"/>
  <c r="E138" i="11"/>
  <c r="G138" i="11"/>
  <c r="C149" i="11"/>
  <c r="H148" i="11"/>
  <c r="F137" i="11"/>
  <c r="F138" i="11" l="1"/>
  <c r="B140" i="11"/>
  <c r="E139" i="11"/>
  <c r="G139" i="11"/>
  <c r="C150" i="11"/>
  <c r="H149" i="11"/>
  <c r="F139" i="11" l="1"/>
  <c r="E140" i="11"/>
  <c r="B141" i="11"/>
  <c r="G140" i="11"/>
  <c r="C151" i="11"/>
  <c r="H150" i="11"/>
  <c r="F140" i="11" l="1"/>
  <c r="B142" i="11"/>
  <c r="E141" i="11"/>
  <c r="G141" i="11"/>
  <c r="C152" i="11"/>
  <c r="H151" i="11"/>
  <c r="C153" i="11" l="1"/>
  <c r="H152" i="11"/>
  <c r="B143" i="11"/>
  <c r="E142" i="11"/>
  <c r="G142" i="11"/>
  <c r="F141" i="11"/>
  <c r="F142" i="11" l="1"/>
  <c r="C154" i="11"/>
  <c r="H153" i="11"/>
  <c r="B144" i="11"/>
  <c r="E143" i="11"/>
  <c r="G143" i="11"/>
  <c r="F143" i="11" l="1"/>
  <c r="C155" i="11"/>
  <c r="H154" i="11"/>
  <c r="E144" i="11"/>
  <c r="B145" i="11"/>
  <c r="G144" i="11"/>
  <c r="B146" i="11" l="1"/>
  <c r="E145" i="11"/>
  <c r="G145" i="11"/>
  <c r="F144" i="11"/>
  <c r="C156" i="11"/>
  <c r="H155" i="11"/>
  <c r="C157" i="11" l="1"/>
  <c r="H156" i="11"/>
  <c r="F145" i="11"/>
  <c r="B147" i="11"/>
  <c r="E146" i="11"/>
  <c r="G146" i="11"/>
  <c r="E147" i="11" l="1"/>
  <c r="B148" i="11"/>
  <c r="G147" i="11"/>
  <c r="F146" i="11"/>
  <c r="C158" i="11"/>
  <c r="H157" i="11"/>
  <c r="E148" i="11" l="1"/>
  <c r="B149" i="11"/>
  <c r="G148" i="11"/>
  <c r="C159" i="11"/>
  <c r="H158" i="11"/>
  <c r="F147" i="11"/>
  <c r="B150" i="11" l="1"/>
  <c r="E149" i="11"/>
  <c r="G149" i="11"/>
  <c r="C160" i="11"/>
  <c r="H159" i="11"/>
  <c r="F148" i="11"/>
  <c r="C161" i="11" l="1"/>
  <c r="H160" i="11"/>
  <c r="F149" i="11"/>
  <c r="E150" i="11"/>
  <c r="B151" i="11"/>
  <c r="G150" i="11"/>
  <c r="F150" i="11" l="1"/>
  <c r="B152" i="11"/>
  <c r="E151" i="11"/>
  <c r="G151" i="11"/>
  <c r="C162" i="11"/>
  <c r="H161" i="11"/>
  <c r="E152" i="11" l="1"/>
  <c r="B153" i="11"/>
  <c r="G152" i="11"/>
  <c r="F151" i="11"/>
  <c r="C163" i="11"/>
  <c r="H162" i="11"/>
  <c r="C164" i="11" l="1"/>
  <c r="H163" i="11"/>
  <c r="E153" i="11"/>
  <c r="B154" i="11"/>
  <c r="G153" i="11"/>
  <c r="F152" i="11"/>
  <c r="B155" i="11" l="1"/>
  <c r="E154" i="11"/>
  <c r="G154" i="11"/>
  <c r="C165" i="11"/>
  <c r="H164" i="11"/>
  <c r="F153" i="11"/>
  <c r="F154" i="11" l="1"/>
  <c r="B156" i="11"/>
  <c r="E155" i="11"/>
  <c r="G155" i="11"/>
  <c r="C166" i="11"/>
  <c r="H165" i="11"/>
  <c r="E156" i="11" l="1"/>
  <c r="B157" i="11"/>
  <c r="G156" i="11"/>
  <c r="F155" i="11"/>
  <c r="C167" i="11"/>
  <c r="H166" i="11"/>
  <c r="C168" i="11" l="1"/>
  <c r="H167" i="11"/>
  <c r="B158" i="11"/>
  <c r="E157" i="11"/>
  <c r="G157" i="11"/>
  <c r="F156" i="11"/>
  <c r="B159" i="11" l="1"/>
  <c r="E158" i="11"/>
  <c r="G158" i="11"/>
  <c r="C169" i="11"/>
  <c r="H168" i="11"/>
  <c r="F157" i="11"/>
  <c r="F158" i="11" l="1"/>
  <c r="C170" i="11"/>
  <c r="H169" i="11"/>
  <c r="B160" i="11"/>
  <c r="E159" i="11"/>
  <c r="G159" i="11"/>
  <c r="E160" i="11" l="1"/>
  <c r="B161" i="11"/>
  <c r="G160" i="11"/>
  <c r="C171" i="11"/>
  <c r="H170" i="11"/>
  <c r="F159" i="11"/>
  <c r="C172" i="11" l="1"/>
  <c r="H171" i="11"/>
  <c r="B162" i="11"/>
  <c r="E161" i="11"/>
  <c r="G161" i="11"/>
  <c r="F160" i="11"/>
  <c r="B163" i="11" l="1"/>
  <c r="E162" i="11"/>
  <c r="G162" i="11"/>
  <c r="F161" i="11"/>
  <c r="C173" i="11"/>
  <c r="H172" i="11"/>
  <c r="F162" i="11" l="1"/>
  <c r="C174" i="11"/>
  <c r="H173" i="11"/>
  <c r="E163" i="11"/>
  <c r="B164" i="11"/>
  <c r="G163" i="11"/>
  <c r="E164" i="11" l="1"/>
  <c r="B165" i="11"/>
  <c r="G164" i="11"/>
  <c r="C175" i="11"/>
  <c r="H174" i="11"/>
  <c r="F163" i="11"/>
  <c r="C176" i="11" l="1"/>
  <c r="H175" i="11"/>
  <c r="B166" i="11"/>
  <c r="E165" i="11"/>
  <c r="G165" i="11"/>
  <c r="F164" i="11"/>
  <c r="E166" i="11" l="1"/>
  <c r="B167" i="11"/>
  <c r="G166" i="11"/>
  <c r="C177" i="11"/>
  <c r="H176" i="11"/>
  <c r="F165" i="11"/>
  <c r="B168" i="11" l="1"/>
  <c r="E167" i="11"/>
  <c r="G167" i="11"/>
  <c r="F166" i="11"/>
  <c r="C178" i="11"/>
  <c r="H177" i="11"/>
  <c r="C179" i="11" l="1"/>
  <c r="H178" i="11"/>
  <c r="F167" i="11"/>
  <c r="E168" i="11"/>
  <c r="B169" i="11"/>
  <c r="G168" i="11"/>
  <c r="E169" i="11" l="1"/>
  <c r="B170" i="11"/>
  <c r="G169" i="11"/>
  <c r="F168" i="11"/>
  <c r="C180" i="11"/>
  <c r="H179" i="11"/>
  <c r="B171" i="11" l="1"/>
  <c r="E170" i="11"/>
  <c r="G170" i="11"/>
  <c r="C181" i="11"/>
  <c r="H180" i="11"/>
  <c r="F169" i="11"/>
  <c r="F170" i="11" l="1"/>
  <c r="C182" i="11"/>
  <c r="H181" i="11"/>
  <c r="B172" i="11"/>
  <c r="E171" i="11"/>
  <c r="G171" i="11"/>
  <c r="C183" i="11" l="1"/>
  <c r="H182" i="11"/>
  <c r="E172" i="11"/>
  <c r="B173" i="11"/>
  <c r="G172" i="11"/>
  <c r="F171" i="11"/>
  <c r="F172" i="11" l="1"/>
  <c r="B174" i="11"/>
  <c r="E173" i="11"/>
  <c r="G173" i="11"/>
  <c r="C184" i="11"/>
  <c r="H183" i="11"/>
  <c r="B175" i="11" l="1"/>
  <c r="E174" i="11"/>
  <c r="G174" i="11"/>
  <c r="C185" i="11"/>
  <c r="H184" i="11"/>
  <c r="F173" i="11"/>
  <c r="F174" i="11" l="1"/>
  <c r="C186" i="11"/>
  <c r="H185" i="11"/>
  <c r="B176" i="11"/>
  <c r="E175" i="11"/>
  <c r="G175" i="11"/>
  <c r="C187" i="11" l="1"/>
  <c r="H186" i="11"/>
  <c r="E176" i="11"/>
  <c r="B177" i="11"/>
  <c r="G176" i="11"/>
  <c r="F175" i="11"/>
  <c r="F176" i="11" l="1"/>
  <c r="B178" i="11"/>
  <c r="E177" i="11"/>
  <c r="G177" i="11"/>
  <c r="C188" i="11"/>
  <c r="H187" i="11"/>
  <c r="B179" i="11" l="1"/>
  <c r="E178" i="11"/>
  <c r="G178" i="11"/>
  <c r="C189" i="11"/>
  <c r="H188" i="11"/>
  <c r="F177" i="11"/>
  <c r="F178" i="11" l="1"/>
  <c r="C190" i="11"/>
  <c r="H189" i="11"/>
  <c r="E179" i="11"/>
  <c r="B180" i="11"/>
  <c r="G179" i="11"/>
  <c r="E180" i="11" l="1"/>
  <c r="B181" i="11"/>
  <c r="G180" i="11"/>
  <c r="F179" i="11"/>
  <c r="C191" i="11"/>
  <c r="H190" i="11"/>
  <c r="C192" i="11" l="1"/>
  <c r="H191" i="11"/>
  <c r="B182" i="11"/>
  <c r="E181" i="11"/>
  <c r="G181" i="11"/>
  <c r="F180" i="11"/>
  <c r="E182" i="11" l="1"/>
  <c r="B183" i="11"/>
  <c r="G182" i="11"/>
  <c r="F181" i="11"/>
  <c r="C193" i="11"/>
  <c r="H192" i="11"/>
  <c r="C194" i="11" l="1"/>
  <c r="H193" i="11"/>
  <c r="E183" i="11"/>
  <c r="B184" i="11"/>
  <c r="G183" i="11"/>
  <c r="F182" i="11"/>
  <c r="C195" i="11" l="1"/>
  <c r="H194" i="11"/>
  <c r="F183" i="11"/>
  <c r="E184" i="11"/>
  <c r="B185" i="11"/>
  <c r="G184" i="11"/>
  <c r="F184" i="11" l="1"/>
  <c r="C196" i="11"/>
  <c r="H195" i="11"/>
  <c r="B186" i="11"/>
  <c r="E185" i="11"/>
  <c r="G185" i="11"/>
  <c r="C197" i="11" l="1"/>
  <c r="H196" i="11"/>
  <c r="F185" i="11"/>
  <c r="E186" i="11"/>
  <c r="B187" i="11"/>
  <c r="G186" i="11"/>
  <c r="E187" i="11" l="1"/>
  <c r="B188" i="11"/>
  <c r="G187" i="11"/>
  <c r="F186" i="11"/>
  <c r="C198" i="11"/>
  <c r="H197" i="11"/>
  <c r="C199" i="11" l="1"/>
  <c r="H198" i="11"/>
  <c r="E188" i="11"/>
  <c r="B189" i="11"/>
  <c r="G188" i="11"/>
  <c r="F187" i="11"/>
  <c r="E189" i="11" l="1"/>
  <c r="B190" i="11"/>
  <c r="G189" i="11"/>
  <c r="C200" i="11"/>
  <c r="H199" i="11"/>
  <c r="F188" i="11"/>
  <c r="E190" i="11" l="1"/>
  <c r="B191" i="11"/>
  <c r="G190" i="11"/>
  <c r="C201" i="11"/>
  <c r="H200" i="11"/>
  <c r="F189" i="11"/>
  <c r="C202" i="11" l="1"/>
  <c r="H201" i="11"/>
  <c r="E191" i="11"/>
  <c r="B192" i="11"/>
  <c r="G191" i="11"/>
  <c r="F190" i="11"/>
  <c r="F191" i="11" l="1"/>
  <c r="C203" i="11"/>
  <c r="H202" i="11"/>
  <c r="B193" i="11"/>
  <c r="E192" i="11"/>
  <c r="G192" i="11"/>
  <c r="E193" i="11" l="1"/>
  <c r="B194" i="11"/>
  <c r="G193" i="11"/>
  <c r="F192" i="11"/>
  <c r="C204" i="11"/>
  <c r="H203" i="11"/>
  <c r="C205" i="11" l="1"/>
  <c r="H204" i="11"/>
  <c r="E194" i="11"/>
  <c r="B195" i="11"/>
  <c r="G194" i="11"/>
  <c r="F193" i="11"/>
  <c r="C206" i="11" l="1"/>
  <c r="H205" i="11"/>
  <c r="E195" i="11"/>
  <c r="B196" i="11"/>
  <c r="G195" i="11"/>
  <c r="F194" i="11"/>
  <c r="E196" i="11" l="1"/>
  <c r="B197" i="11"/>
  <c r="G196" i="11"/>
  <c r="C207" i="11"/>
  <c r="H206" i="11"/>
  <c r="F195" i="11"/>
  <c r="B198" i="11" l="1"/>
  <c r="E197" i="11"/>
  <c r="G197" i="11"/>
  <c r="F196" i="11"/>
  <c r="C208" i="11"/>
  <c r="H207" i="11"/>
  <c r="C209" i="11" l="1"/>
  <c r="H208" i="11"/>
  <c r="F197" i="11"/>
  <c r="E198" i="11"/>
  <c r="B199" i="11"/>
  <c r="G198" i="11"/>
  <c r="E199" i="11" l="1"/>
  <c r="B200" i="11"/>
  <c r="G199" i="11"/>
  <c r="F198" i="11"/>
  <c r="C210" i="11"/>
  <c r="H209" i="11"/>
  <c r="B201" i="11" l="1"/>
  <c r="E200" i="11"/>
  <c r="G200" i="11"/>
  <c r="F199" i="11"/>
  <c r="C211" i="11"/>
  <c r="H210" i="11"/>
  <c r="C212" i="11" l="1"/>
  <c r="H211" i="11"/>
  <c r="F200" i="11"/>
  <c r="E201" i="11"/>
  <c r="B202" i="11"/>
  <c r="G201" i="11"/>
  <c r="E202" i="11" l="1"/>
  <c r="B203" i="11"/>
  <c r="G202" i="11"/>
  <c r="F201" i="11"/>
  <c r="C213" i="11"/>
  <c r="H212" i="11"/>
  <c r="C214" i="11" l="1"/>
  <c r="H213" i="11"/>
  <c r="B204" i="11"/>
  <c r="E203" i="11"/>
  <c r="G203" i="11"/>
  <c r="F202" i="11"/>
  <c r="E204" i="11" l="1"/>
  <c r="B205" i="11"/>
  <c r="G204" i="11"/>
  <c r="C215" i="11"/>
  <c r="H214" i="11"/>
  <c r="F203" i="11"/>
  <c r="E205" i="11" l="1"/>
  <c r="B206" i="11"/>
  <c r="G205" i="11"/>
  <c r="C216" i="11"/>
  <c r="H215" i="11"/>
  <c r="F204" i="11"/>
  <c r="E206" i="11" l="1"/>
  <c r="B207" i="11"/>
  <c r="G206" i="11"/>
  <c r="F205" i="11"/>
  <c r="C217" i="11"/>
  <c r="H216" i="11"/>
  <c r="C218" i="11" l="1"/>
  <c r="H217" i="11"/>
  <c r="E207" i="11"/>
  <c r="B208" i="11"/>
  <c r="G207" i="11"/>
  <c r="F206" i="11"/>
  <c r="F207" i="11" l="1"/>
  <c r="E208" i="11"/>
  <c r="B209" i="11"/>
  <c r="G208" i="11"/>
  <c r="C219" i="11"/>
  <c r="H218" i="11"/>
  <c r="C220" i="11" l="1"/>
  <c r="H219" i="11"/>
  <c r="F208" i="11"/>
  <c r="E209" i="11"/>
  <c r="B210" i="11"/>
  <c r="G209" i="11"/>
  <c r="E210" i="11" l="1"/>
  <c r="B211" i="11"/>
  <c r="G210" i="11"/>
  <c r="F209" i="11"/>
  <c r="C221" i="11"/>
  <c r="H220" i="11"/>
  <c r="C222" i="11" l="1"/>
  <c r="H221" i="11"/>
  <c r="E211" i="11"/>
  <c r="B212" i="11"/>
  <c r="G211" i="11"/>
  <c r="F210" i="11"/>
  <c r="F211" i="11" l="1"/>
  <c r="E212" i="11"/>
  <c r="B213" i="11"/>
  <c r="G212" i="11"/>
  <c r="C223" i="11"/>
  <c r="H222" i="11"/>
  <c r="F212" i="11" l="1"/>
  <c r="C224" i="11"/>
  <c r="H223" i="11"/>
  <c r="B214" i="11"/>
  <c r="E213" i="11"/>
  <c r="G213" i="11"/>
  <c r="F213" i="11" l="1"/>
  <c r="C225" i="11"/>
  <c r="H224" i="11"/>
  <c r="E214" i="11"/>
  <c r="B215" i="11"/>
  <c r="G214" i="11"/>
  <c r="C226" i="11" l="1"/>
  <c r="H225" i="11"/>
  <c r="E215" i="11"/>
  <c r="B216" i="11"/>
  <c r="G215" i="11"/>
  <c r="F214" i="11"/>
  <c r="F215" i="11" l="1"/>
  <c r="B217" i="11"/>
  <c r="E216" i="11"/>
  <c r="G216" i="11"/>
  <c r="C227" i="11"/>
  <c r="H226" i="11"/>
  <c r="C228" i="11" l="1"/>
  <c r="H227" i="11"/>
  <c r="B218" i="11"/>
  <c r="E217" i="11"/>
  <c r="G217" i="11"/>
  <c r="F216" i="11"/>
  <c r="F217" i="11" l="1"/>
  <c r="E218" i="11"/>
  <c r="B219" i="11"/>
  <c r="G218" i="11"/>
  <c r="C229" i="11"/>
  <c r="H228" i="11"/>
  <c r="B220" i="11" l="1"/>
  <c r="E219" i="11"/>
  <c r="G219" i="11"/>
  <c r="C230" i="11"/>
  <c r="H229" i="11"/>
  <c r="F218" i="11"/>
  <c r="F219" i="11" l="1"/>
  <c r="C231" i="11"/>
  <c r="H230" i="11"/>
  <c r="B221" i="11"/>
  <c r="E220" i="11"/>
  <c r="G220" i="11"/>
  <c r="F220" i="11" l="1"/>
  <c r="C232" i="11"/>
  <c r="H231" i="11"/>
  <c r="B222" i="11"/>
  <c r="E221" i="11"/>
  <c r="G221" i="11"/>
  <c r="F221" i="11" l="1"/>
  <c r="E222" i="11"/>
  <c r="B223" i="11"/>
  <c r="G222" i="11"/>
  <c r="C233" i="11"/>
  <c r="H232" i="11"/>
  <c r="C234" i="11" l="1"/>
  <c r="H233" i="11"/>
  <c r="B224" i="11"/>
  <c r="E223" i="11"/>
  <c r="G223" i="11"/>
  <c r="F222" i="11"/>
  <c r="B225" i="11" l="1"/>
  <c r="E224" i="11"/>
  <c r="G224" i="11"/>
  <c r="F223" i="11"/>
  <c r="C235" i="11"/>
  <c r="H234" i="11"/>
  <c r="C236" i="11" l="1"/>
  <c r="H235" i="11"/>
  <c r="F224" i="11"/>
  <c r="E225" i="11"/>
  <c r="B226" i="11"/>
  <c r="G225" i="11"/>
  <c r="E226" i="11" l="1"/>
  <c r="B227" i="11"/>
  <c r="G226" i="11"/>
  <c r="F225" i="11"/>
  <c r="C237" i="11"/>
  <c r="H236" i="11"/>
  <c r="C238" i="11" l="1"/>
  <c r="H237" i="11"/>
  <c r="B228" i="11"/>
  <c r="E227" i="11"/>
  <c r="G227" i="11"/>
  <c r="F226" i="11"/>
  <c r="E228" i="11" l="1"/>
  <c r="B229" i="11"/>
  <c r="G228" i="11"/>
  <c r="C239" i="11"/>
  <c r="H238" i="11"/>
  <c r="F227" i="11"/>
  <c r="B230" i="11" l="1"/>
  <c r="E229" i="11"/>
  <c r="G229" i="11"/>
  <c r="F228" i="11"/>
  <c r="C240" i="11"/>
  <c r="H239" i="11"/>
  <c r="C241" i="11" l="1"/>
  <c r="H240" i="11"/>
  <c r="F229" i="11"/>
  <c r="E230" i="11"/>
  <c r="B231" i="11"/>
  <c r="G230" i="11"/>
  <c r="E231" i="11" l="1"/>
  <c r="B232" i="11"/>
  <c r="G231" i="11"/>
  <c r="F230" i="11"/>
  <c r="C242" i="11"/>
  <c r="H241" i="11"/>
  <c r="C243" i="11" l="1"/>
  <c r="H242" i="11"/>
  <c r="B233" i="11"/>
  <c r="E232" i="11"/>
  <c r="G232" i="11"/>
  <c r="F231" i="11"/>
  <c r="F232" i="11" l="1"/>
  <c r="B234" i="11"/>
  <c r="E233" i="11"/>
  <c r="G233" i="11"/>
  <c r="C244" i="11"/>
  <c r="H243" i="11"/>
  <c r="F233" i="11" l="1"/>
  <c r="C245" i="11"/>
  <c r="H244" i="11"/>
  <c r="E234" i="11"/>
  <c r="B235" i="11"/>
  <c r="G234" i="11"/>
  <c r="B236" i="11" l="1"/>
  <c r="E235" i="11"/>
  <c r="G235" i="11"/>
  <c r="C246" i="11"/>
  <c r="H245" i="11"/>
  <c r="F234" i="11"/>
  <c r="C247" i="11" l="1"/>
  <c r="H246" i="11"/>
  <c r="F235" i="11"/>
  <c r="B237" i="11"/>
  <c r="E236" i="11"/>
  <c r="G236" i="11"/>
  <c r="F236" i="11" l="1"/>
  <c r="B238" i="11"/>
  <c r="E237" i="11"/>
  <c r="G237" i="11"/>
  <c r="C248" i="11"/>
  <c r="H247" i="11"/>
  <c r="E238" i="11" l="1"/>
  <c r="B239" i="11"/>
  <c r="G238" i="11"/>
  <c r="C249" i="11"/>
  <c r="H248" i="11"/>
  <c r="F237" i="11"/>
  <c r="B240" i="11" l="1"/>
  <c r="E239" i="11"/>
  <c r="G239" i="11"/>
  <c r="C250" i="11"/>
  <c r="H249" i="11"/>
  <c r="F238" i="11"/>
  <c r="C251" i="11" l="1"/>
  <c r="H250" i="11"/>
  <c r="F239" i="11"/>
  <c r="B241" i="11"/>
  <c r="E240" i="11"/>
  <c r="G240" i="11"/>
  <c r="F240" i="11" l="1"/>
  <c r="E241" i="11"/>
  <c r="B242" i="11"/>
  <c r="G241" i="11"/>
  <c r="C252" i="11"/>
  <c r="H251" i="11"/>
  <c r="E242" i="11" l="1"/>
  <c r="B243" i="11"/>
  <c r="G242" i="11"/>
  <c r="C253" i="11"/>
  <c r="H252" i="11"/>
  <c r="F241" i="11"/>
  <c r="B244" i="11" l="1"/>
  <c r="E243" i="11"/>
  <c r="G243" i="11"/>
  <c r="C254" i="11"/>
  <c r="H253" i="11"/>
  <c r="F242" i="11"/>
  <c r="C255" i="11" l="1"/>
  <c r="H254" i="11"/>
  <c r="F243" i="11"/>
  <c r="E244" i="11"/>
  <c r="B245" i="11"/>
  <c r="G244" i="11"/>
  <c r="B246" i="11" l="1"/>
  <c r="E245" i="11"/>
  <c r="G245" i="11"/>
  <c r="F244" i="11"/>
  <c r="C256" i="11"/>
  <c r="H255" i="11"/>
  <c r="C257" i="11" l="1"/>
  <c r="H256" i="11"/>
  <c r="F245" i="11"/>
  <c r="E246" i="11"/>
  <c r="B247" i="11"/>
  <c r="G246" i="11"/>
  <c r="E247" i="11" l="1"/>
  <c r="B248" i="11"/>
  <c r="G247" i="11"/>
  <c r="F246" i="11"/>
  <c r="C258" i="11"/>
  <c r="H257" i="11"/>
  <c r="C259" i="11" l="1"/>
  <c r="H258" i="11"/>
  <c r="B249" i="11"/>
  <c r="E248" i="11"/>
  <c r="G248" i="11"/>
  <c r="F247" i="11"/>
  <c r="F248" i="11" l="1"/>
  <c r="E249" i="11"/>
  <c r="B250" i="11"/>
  <c r="G249" i="11"/>
  <c r="C260" i="11"/>
  <c r="H259" i="11"/>
  <c r="E250" i="11" l="1"/>
  <c r="B251" i="11"/>
  <c r="G250" i="11"/>
  <c r="C261" i="11"/>
  <c r="H260" i="11"/>
  <c r="F249" i="11"/>
  <c r="B252" i="11" l="1"/>
  <c r="E251" i="11"/>
  <c r="G251" i="11"/>
  <c r="C262" i="11"/>
  <c r="H261" i="11"/>
  <c r="F250" i="11"/>
  <c r="F251" i="11" l="1"/>
  <c r="C263" i="11"/>
  <c r="H262" i="11"/>
  <c r="E252" i="11"/>
  <c r="B253" i="11"/>
  <c r="G252" i="11"/>
  <c r="C264" i="11" l="1"/>
  <c r="H263" i="11"/>
  <c r="B254" i="11"/>
  <c r="E253" i="11"/>
  <c r="G253" i="11"/>
  <c r="F252" i="11"/>
  <c r="F253" i="11" l="1"/>
  <c r="E254" i="11"/>
  <c r="B255" i="11"/>
  <c r="G254" i="11"/>
  <c r="C265" i="11"/>
  <c r="H264" i="11"/>
  <c r="C266" i="11" l="1"/>
  <c r="H265" i="11"/>
  <c r="B256" i="11"/>
  <c r="E255" i="11"/>
  <c r="G255" i="11"/>
  <c r="F254" i="11"/>
  <c r="B257" i="11" l="1"/>
  <c r="E256" i="11"/>
  <c r="G256" i="11"/>
  <c r="F255" i="11"/>
  <c r="C267" i="11"/>
  <c r="H266" i="11"/>
  <c r="C268" i="11" l="1"/>
  <c r="H267" i="11"/>
  <c r="F256" i="11"/>
  <c r="E257" i="11"/>
  <c r="B258" i="11"/>
  <c r="G257" i="11"/>
  <c r="E258" i="11" l="1"/>
  <c r="B259" i="11"/>
  <c r="G258" i="11"/>
  <c r="F257" i="11"/>
  <c r="C269" i="11"/>
  <c r="H268" i="11"/>
  <c r="C270" i="11" l="1"/>
  <c r="H269" i="11"/>
  <c r="B260" i="11"/>
  <c r="E259" i="11"/>
  <c r="G259" i="11"/>
  <c r="F258" i="11"/>
  <c r="E260" i="11" l="1"/>
  <c r="B261" i="11"/>
  <c r="G260" i="11"/>
  <c r="F259" i="11"/>
  <c r="C271" i="11"/>
  <c r="H270" i="11"/>
  <c r="F260" i="11" l="1"/>
  <c r="C272" i="11"/>
  <c r="H271" i="11"/>
  <c r="B262" i="11"/>
  <c r="E261" i="11"/>
  <c r="G261" i="11"/>
  <c r="E262" i="11" l="1"/>
  <c r="B263" i="11"/>
  <c r="G262" i="11"/>
  <c r="F261" i="11"/>
  <c r="C273" i="11"/>
  <c r="H272" i="11"/>
  <c r="E263" i="11" l="1"/>
  <c r="B264" i="11"/>
  <c r="G263" i="11"/>
  <c r="F262" i="11"/>
  <c r="C274" i="11"/>
  <c r="H273" i="11"/>
  <c r="C275" i="11" l="1"/>
  <c r="H274" i="11"/>
  <c r="B265" i="11"/>
  <c r="E264" i="11"/>
  <c r="G264" i="11"/>
  <c r="F263" i="11"/>
  <c r="E265" i="11" l="1"/>
  <c r="B266" i="11"/>
  <c r="G265" i="11"/>
  <c r="F264" i="11"/>
  <c r="C276" i="11"/>
  <c r="H275" i="11"/>
  <c r="C277" i="11" l="1"/>
  <c r="H276" i="11"/>
  <c r="E266" i="11"/>
  <c r="B267" i="11"/>
  <c r="G266" i="11"/>
  <c r="F265" i="11"/>
  <c r="B268" i="11" l="1"/>
  <c r="E267" i="11"/>
  <c r="G267" i="11"/>
  <c r="F266" i="11"/>
  <c r="C278" i="11"/>
  <c r="H277" i="11"/>
  <c r="C279" i="11" l="1"/>
  <c r="H278" i="11"/>
  <c r="F267" i="11"/>
  <c r="E268" i="11"/>
  <c r="B269" i="11"/>
  <c r="G268" i="11"/>
  <c r="E269" i="11" l="1"/>
  <c r="B270" i="11"/>
  <c r="G269" i="11"/>
  <c r="F268" i="11"/>
  <c r="C280" i="11"/>
  <c r="H279" i="11"/>
  <c r="C281" i="11" l="1"/>
  <c r="H280" i="11"/>
  <c r="E270" i="11"/>
  <c r="B271" i="11"/>
  <c r="G270" i="11"/>
  <c r="F269" i="11"/>
  <c r="E271" i="11" l="1"/>
  <c r="B272" i="11"/>
  <c r="G271" i="11"/>
  <c r="F270" i="11"/>
  <c r="C282" i="11"/>
  <c r="H281" i="11"/>
  <c r="C283" i="11" l="1"/>
  <c r="H282" i="11"/>
  <c r="E272" i="11"/>
  <c r="B273" i="11"/>
  <c r="G272" i="11"/>
  <c r="F271" i="11"/>
  <c r="F272" i="11" l="1"/>
  <c r="E273" i="11"/>
  <c r="B274" i="11"/>
  <c r="G288" i="11"/>
  <c r="G273" i="11"/>
  <c r="C284" i="11"/>
  <c r="H283" i="11"/>
  <c r="F273" i="11" l="1"/>
  <c r="C285" i="11"/>
  <c r="H284" i="11"/>
  <c r="E274" i="11"/>
  <c r="F274" i="11" s="1"/>
  <c r="B275" i="11"/>
  <c r="G274" i="11"/>
  <c r="G59" i="8" l="1"/>
  <c r="H285" i="11"/>
  <c r="C59" i="8"/>
  <c r="C62" i="8" s="1"/>
  <c r="G62" i="8"/>
  <c r="B276" i="11"/>
  <c r="E275" i="11"/>
  <c r="F275" i="11" s="1"/>
  <c r="G275" i="11"/>
  <c r="E276" i="11" l="1"/>
  <c r="F276" i="11" s="1"/>
  <c r="B277" i="11"/>
  <c r="G276" i="11"/>
  <c r="E277" i="11" l="1"/>
  <c r="F277" i="11" s="1"/>
  <c r="B278" i="11"/>
  <c r="G277" i="11"/>
  <c r="B279" i="11" l="1"/>
  <c r="E278" i="11"/>
  <c r="F278" i="11" s="1"/>
  <c r="G278" i="11"/>
  <c r="E279" i="11" l="1"/>
  <c r="F279" i="11" s="1"/>
  <c r="B280" i="11"/>
  <c r="G279" i="11"/>
  <c r="B281" i="11" l="1"/>
  <c r="E280" i="11"/>
  <c r="F280" i="11" s="1"/>
  <c r="G280" i="11"/>
  <c r="E281" i="11" l="1"/>
  <c r="F281" i="11" s="1"/>
  <c r="B282" i="11"/>
  <c r="G281" i="11"/>
  <c r="E282" i="11" l="1"/>
  <c r="F282" i="11" s="1"/>
  <c r="B283" i="11"/>
  <c r="G282" i="11"/>
  <c r="B284" i="11" l="1"/>
  <c r="E283" i="11"/>
  <c r="F283" i="11" s="1"/>
  <c r="G283" i="11"/>
  <c r="E284" i="11" l="1"/>
  <c r="F284" i="11" s="1"/>
  <c r="B285" i="11"/>
  <c r="C7" i="2" s="1"/>
  <c r="G7" i="2" s="1"/>
  <c r="G284" i="11"/>
  <c r="E285" i="11" l="1"/>
  <c r="F285" i="11" s="1"/>
  <c r="G289" i="11"/>
  <c r="G290" i="11" s="1"/>
  <c r="G285" i="11"/>
  <c r="C37" i="5" l="1"/>
  <c r="F10" i="2" l="1"/>
  <c r="G10" i="2" l="1"/>
  <c r="F25" i="23" l="1"/>
  <c r="F12" i="23"/>
  <c r="F13" i="23"/>
  <c r="F56" i="23" l="1"/>
  <c r="F32" i="23" l="1"/>
  <c r="F20" i="23"/>
  <c r="F33" i="23" l="1"/>
  <c r="F40" i="23"/>
  <c r="F44" i="23"/>
  <c r="F43" i="23"/>
  <c r="F19" i="23"/>
  <c r="F54" i="23"/>
  <c r="F26" i="23"/>
  <c r="F31" i="23"/>
  <c r="F41" i="23"/>
  <c r="F18" i="23"/>
  <c r="F14" i="23"/>
  <c r="F55" i="23"/>
  <c r="F16" i="23"/>
  <c r="F17" i="23"/>
  <c r="F29" i="23"/>
  <c r="F27" i="23"/>
  <c r="F10" i="23"/>
  <c r="F28" i="23"/>
  <c r="F30" i="23"/>
  <c r="F34" i="23"/>
  <c r="F11" i="23"/>
  <c r="F45" i="23"/>
  <c r="F53" i="23"/>
  <c r="F15" i="23"/>
  <c r="F42" i="23"/>
  <c r="F24" i="23"/>
  <c r="F57" i="23" l="1"/>
  <c r="E57" i="23"/>
  <c r="E35" i="23"/>
  <c r="F46" i="23"/>
  <c r="F35" i="23"/>
  <c r="E46" i="23"/>
  <c r="F21" i="23"/>
  <c r="E21" i="23"/>
  <c r="F60" i="23" l="1"/>
  <c r="I64" i="8" s="1"/>
  <c r="G64" i="8" s="1"/>
  <c r="E60" i="23"/>
  <c r="I66" i="8" l="1"/>
  <c r="C34" i="1" s="1"/>
  <c r="G65" i="8"/>
  <c r="G66" i="8" s="1"/>
  <c r="C7" i="1" s="1"/>
  <c r="K46" i="1" l="1"/>
  <c r="F34" i="1"/>
  <c r="C16" i="1" l="1"/>
  <c r="F16" i="1" l="1"/>
  <c r="K41" i="1" l="1"/>
  <c r="G23" i="1"/>
  <c r="K27" i="1" l="1"/>
  <c r="K28" i="1"/>
  <c r="F28" i="1" l="1"/>
  <c r="K43" i="1"/>
  <c r="F32" i="1"/>
  <c r="K44" i="1"/>
  <c r="K33" i="1"/>
  <c r="K26" i="1"/>
  <c r="D56" i="1" l="1"/>
  <c r="C35" i="1" s="1"/>
  <c r="H83" i="6"/>
  <c r="I83" i="6"/>
  <c r="I85" i="6" s="1"/>
  <c r="D6" i="2" s="1"/>
  <c r="G83" i="6"/>
  <c r="G85" i="6" s="1"/>
  <c r="C6" i="2" s="1"/>
  <c r="G6" i="2" s="1"/>
  <c r="K38" i="1" l="1"/>
  <c r="F35" i="1"/>
  <c r="C36" i="5"/>
  <c r="C42" i="5" s="1"/>
  <c r="H85" i="6"/>
  <c r="H18" i="5"/>
  <c r="C24" i="1" s="1"/>
  <c r="F24" i="1" s="1"/>
  <c r="C14" i="1"/>
  <c r="F14" i="1" s="1"/>
  <c r="G12" i="2" l="1"/>
  <c r="G11" i="2"/>
  <c r="C14" i="2"/>
  <c r="K42" i="1"/>
  <c r="H9" i="5"/>
  <c r="K35" i="1"/>
  <c r="D14" i="2" l="1"/>
  <c r="F37" i="1"/>
  <c r="C34" i="5"/>
  <c r="C43" i="5" s="1"/>
  <c r="C33" i="1" s="1"/>
  <c r="F14" i="2"/>
  <c r="H14" i="5"/>
  <c r="C21" i="1" s="1"/>
  <c r="G13" i="2" l="1"/>
  <c r="G14" i="2" s="1"/>
  <c r="C8" i="1" s="1"/>
  <c r="F33" i="1"/>
  <c r="K45" i="1"/>
  <c r="G37" i="1"/>
  <c r="F21" i="1"/>
  <c r="K39" i="1"/>
  <c r="C17" i="1" l="1"/>
  <c r="C9" i="1"/>
  <c r="F17" i="1" l="1"/>
  <c r="K52" i="1"/>
  <c r="D22" i="1" l="1"/>
  <c r="D34" i="1"/>
  <c r="D35" i="1"/>
  <c r="D33" i="1"/>
  <c r="D24" i="1"/>
  <c r="D14" i="1"/>
  <c r="D16" i="1"/>
  <c r="D17" i="1"/>
  <c r="D23" i="1"/>
  <c r="D32" i="1"/>
  <c r="D28" i="1"/>
  <c r="D21" i="1"/>
  <c r="K25" i="1" l="1"/>
  <c r="D19" i="1"/>
  <c r="K64" i="1"/>
  <c r="G19" i="1"/>
  <c r="G26" i="1"/>
  <c r="K59" i="1"/>
  <c r="D26" i="1"/>
  <c r="G15" i="1"/>
  <c r="D15" i="1"/>
  <c r="K67" i="1"/>
  <c r="G18" i="1" l="1"/>
  <c r="K58" i="1"/>
  <c r="K60" i="1" s="1"/>
  <c r="D18" i="1"/>
  <c r="G27" i="1"/>
  <c r="K72" i="1"/>
  <c r="D27" i="1"/>
  <c r="G31" i="1"/>
  <c r="K47" i="1"/>
  <c r="K48" i="1" s="1"/>
  <c r="D31" i="1"/>
  <c r="K66" i="1" l="1"/>
  <c r="G25" i="1"/>
  <c r="D25" i="1"/>
  <c r="K24" i="1" l="1"/>
  <c r="K30" i="1" s="1"/>
  <c r="K50" i="1" s="1"/>
  <c r="K54" i="1" s="1"/>
  <c r="D20" i="1" l="1"/>
  <c r="F20" i="1"/>
  <c r="K65" i="1"/>
  <c r="K68" i="1" s="1"/>
  <c r="M24" i="1" l="1"/>
  <c r="K62" i="1" l="1"/>
  <c r="K74" i="1"/>
  <c r="M35" i="1" l="1"/>
  <c r="G30" i="1" l="1"/>
  <c r="G36" i="1" s="1"/>
  <c r="D30" i="1"/>
  <c r="K80" i="1"/>
  <c r="K82" i="1" s="1"/>
  <c r="K13" i="1"/>
  <c r="C36" i="1"/>
  <c r="D29" i="1" l="1"/>
  <c r="C45" i="1" s="1"/>
  <c r="D45" i="1" s="1"/>
  <c r="F29" i="1"/>
  <c r="F36" i="1" s="1"/>
  <c r="F38" i="1" s="1"/>
  <c r="K76" i="1"/>
  <c r="K78" i="1" s="1"/>
  <c r="C46" i="1"/>
  <c r="D36" i="1"/>
  <c r="C44" i="1" s="1"/>
  <c r="D44" i="1" s="1"/>
  <c r="C38" i="1"/>
  <c r="K55" i="1"/>
  <c r="G38" i="1"/>
  <c r="H36" i="1"/>
  <c r="H38" i="1" l="1"/>
  <c r="D46" i="1"/>
  <c r="D47" i="1" s="1"/>
  <c r="C47" i="1"/>
  <c r="K70" i="1" l="1"/>
  <c r="L30" i="1" l="1"/>
  <c r="M30" i="1" s="1"/>
  <c r="M13" i="1"/>
</calcChain>
</file>

<file path=xl/comments1.xml><?xml version="1.0" encoding="utf-8"?>
<comments xmlns="http://schemas.openxmlformats.org/spreadsheetml/2006/main">
  <authors>
    <author>Benjamin Larson (Belars)</author>
  </authors>
  <commentList>
    <comment ref="C7" authorId="0" shapeId="0">
      <text>
        <r>
          <rPr>
            <sz val="8"/>
            <color indexed="81"/>
            <rFont val="Tahoma"/>
            <family val="2"/>
          </rPr>
          <t>Depr 1301
Plant</t>
        </r>
      </text>
    </comment>
    <comment ref="D7" authorId="0" shapeId="0">
      <text>
        <r>
          <rPr>
            <sz val="8"/>
            <color indexed="81"/>
            <rFont val="Tahoma"/>
            <family val="2"/>
          </rPr>
          <t>Depr 1033
Provision</t>
        </r>
      </text>
    </comment>
    <comment ref="E7" authorId="0" shapeId="0">
      <text>
        <r>
          <rPr>
            <sz val="8"/>
            <color indexed="81"/>
            <rFont val="Tahoma"/>
            <family val="2"/>
          </rPr>
          <t>Depr 1302
Reserve</t>
        </r>
      </text>
    </comment>
    <comment ref="G7" authorId="0" shapeId="0">
      <text>
        <r>
          <rPr>
            <sz val="8"/>
            <color indexed="81"/>
            <rFont val="Tahoma"/>
            <family val="2"/>
          </rPr>
          <t>Depr 1301
Plant</t>
        </r>
      </text>
    </comment>
    <comment ref="H7" authorId="0" shapeId="0">
      <text>
        <r>
          <rPr>
            <sz val="8"/>
            <color indexed="81"/>
            <rFont val="Tahoma"/>
            <family val="2"/>
          </rPr>
          <t>Depr 1033
Provision</t>
        </r>
      </text>
    </comment>
    <comment ref="I7" authorId="0" shapeId="0">
      <text>
        <r>
          <rPr>
            <sz val="8"/>
            <color indexed="81"/>
            <rFont val="Tahoma"/>
            <family val="2"/>
          </rPr>
          <t>Depr 1302
Reserve</t>
        </r>
      </text>
    </comment>
  </commentList>
</comments>
</file>

<file path=xl/comments2.xml><?xml version="1.0" encoding="utf-8"?>
<comments xmlns="http://schemas.openxmlformats.org/spreadsheetml/2006/main">
  <authors>
    <author>Jonathan Kim</author>
  </authors>
  <commentList>
    <comment ref="M10" authorId="0" shapeId="0">
      <text>
        <r>
          <rPr>
            <sz val="9"/>
            <color indexed="81"/>
            <rFont val="Tahoma"/>
            <family val="2"/>
          </rPr>
          <t>Need to use ARAM rate, i.e., 35% otherwise DTL will not fully reverse</t>
        </r>
      </text>
    </comment>
  </commentList>
</comments>
</file>

<file path=xl/comments3.xml><?xml version="1.0" encoding="utf-8"?>
<comments xmlns="http://schemas.openxmlformats.org/spreadsheetml/2006/main">
  <authors>
    <author>Jonathan Kim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Only Gas for Distribution System
Exclude Tacoma LNG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<sst xmlns="http://schemas.openxmlformats.org/spreadsheetml/2006/main" count="966" uniqueCount="545">
  <si>
    <t>2019 GRC</t>
  </si>
  <si>
    <t>Row</t>
  </si>
  <si>
    <t>Exhibit A-1 Power Cost Baseline Rate</t>
  </si>
  <si>
    <t>Regulatory Assets (1) (Variable)</t>
  </si>
  <si>
    <t>Transmission Rate Base (Fixed)</t>
  </si>
  <si>
    <t>Production Rate Base (Fixed)</t>
  </si>
  <si>
    <t>EOP</t>
  </si>
  <si>
    <t>9A</t>
  </si>
  <si>
    <t>10a</t>
  </si>
  <si>
    <t>15a</t>
  </si>
  <si>
    <t>15b</t>
  </si>
  <si>
    <t>15c</t>
  </si>
  <si>
    <t>15d</t>
  </si>
  <si>
    <t>15e</t>
  </si>
  <si>
    <t>Debit</t>
  </si>
  <si>
    <t>such as:  Pension, Investment Plan, Employee Insurance.</t>
  </si>
  <si>
    <t>exclude them from being presented Pro-forma with the rest of the Power Costs and why they must be production factored here.  Once the test</t>
  </si>
  <si>
    <t>Total Production Property Depreciation &amp; Amortization</t>
  </si>
  <si>
    <t>Subtotal Amortization</t>
  </si>
  <si>
    <t>Ferndale Acq. Adjustment</t>
  </si>
  <si>
    <t>Encogen Acq. Adjustment</t>
  </si>
  <si>
    <t>Colstrip Def Depr FERC Adj. - Reg Asset</t>
  </si>
  <si>
    <t>Colstrip Common FERC Adj. - Reg Asset (3)</t>
  </si>
  <si>
    <t>Non-Depreciable Production Property</t>
  </si>
  <si>
    <t>Production Property Amortization (FERC 403):</t>
  </si>
  <si>
    <t>Subtotal Depreciation</t>
  </si>
  <si>
    <t>Wild Horse Solar Depreciation Expense (9.03)</t>
  </si>
  <si>
    <t>Test Year Depreciable Production Property</t>
  </si>
  <si>
    <t>Production Property Depreciation (FERC 403):</t>
  </si>
  <si>
    <t>Factored</t>
  </si>
  <si>
    <t>Description</t>
  </si>
  <si>
    <t>For Depreciation Related Costs</t>
  </si>
  <si>
    <t>n/a</t>
  </si>
  <si>
    <t>Per Renewal Period</t>
  </si>
  <si>
    <t>Property Insurance</t>
  </si>
  <si>
    <t>Incentive Adj</t>
  </si>
  <si>
    <t>Wage Adj</t>
  </si>
  <si>
    <t>Payroll Tax</t>
  </si>
  <si>
    <t>Empl Insurance Adj</t>
  </si>
  <si>
    <t>Investment Plan Adj</t>
  </si>
  <si>
    <t>Pension Adj</t>
  </si>
  <si>
    <t>TY A&amp;G 926 (related to Prod O&amp;M)</t>
  </si>
  <si>
    <t>TY A&amp;G 926 (related to Other Pwr 557)</t>
  </si>
  <si>
    <t xml:space="preserve">Benefits </t>
  </si>
  <si>
    <t xml:space="preserve"> (1)</t>
  </si>
  <si>
    <t>Total by Cost</t>
  </si>
  <si>
    <t>Adjustment ("change")</t>
  </si>
  <si>
    <t>Test Year</t>
  </si>
  <si>
    <t>Found in TY or  Adj to in Following Costs</t>
  </si>
  <si>
    <t xml:space="preserve">Note </t>
  </si>
  <si>
    <t>Production Portion</t>
  </si>
  <si>
    <t>Item</t>
  </si>
  <si>
    <t>Puget Sound Energy</t>
  </si>
  <si>
    <t>Total Beg Utility Plant In Service -Depreciable &amp; Non Depreciable</t>
  </si>
  <si>
    <t>TOTAL NON-DEPRECIABLE PROD PLANT</t>
  </si>
  <si>
    <t>Lower Baker Power House Unit #3 (E303) - 24661681</t>
  </si>
  <si>
    <t>E303</t>
  </si>
  <si>
    <t>Upper Baker Hydro Production (E302) - 23406171</t>
  </si>
  <si>
    <t>E302</t>
  </si>
  <si>
    <t>Frederickson Facility (E303) - 23405837</t>
  </si>
  <si>
    <t>Lower Baker Power House Unit #3 (E303) - 22057501</t>
  </si>
  <si>
    <t>Lower Baker Power House Unit #3 (E303) - 19187626</t>
  </si>
  <si>
    <t>Snoqualmie Project License (E302)</t>
  </si>
  <si>
    <t>Baker River License (E302)</t>
  </si>
  <si>
    <t>Whitehorn 2 &amp; 3 Leasesholds (E303)</t>
  </si>
  <si>
    <t>Rock Island Expansion (E303)</t>
  </si>
  <si>
    <t>Generators</t>
  </si>
  <si>
    <t>E3441</t>
  </si>
  <si>
    <t>Structures &amp; Improvements</t>
  </si>
  <si>
    <t>E3411</t>
  </si>
  <si>
    <t>Other Production - Land &amp; Land Rights</t>
  </si>
  <si>
    <t>E340</t>
  </si>
  <si>
    <t>Hydro Production - Land &amp; Land Rights</t>
  </si>
  <si>
    <t>E330</t>
  </si>
  <si>
    <t>Steam Production - Land &amp; Land Rights</t>
  </si>
  <si>
    <t>E310</t>
  </si>
  <si>
    <t>NON-DEPRECIABLE PRODUCTION PLANT</t>
  </si>
  <si>
    <t>TOTAL DEPRECIABLE</t>
  </si>
  <si>
    <t>ARO - Lower Snake River Met Tower</t>
  </si>
  <si>
    <t>ARO - Lower Snake River</t>
  </si>
  <si>
    <t>ARO-Wild Horse Wind</t>
  </si>
  <si>
    <t>ARO-Frederickson</t>
  </si>
  <si>
    <t>ARO- Hopkins Ridge</t>
  </si>
  <si>
    <t>Ferndale</t>
  </si>
  <si>
    <t>Crystal Mtn-Generator Site</t>
  </si>
  <si>
    <t>E317 - 100923 - Colstrip 3 &amp; 4 Ash Pond Capping</t>
  </si>
  <si>
    <t>E317 - 100922 - Colstrip 1 &amp; 2 Ash Pond Capping</t>
  </si>
  <si>
    <t>Dec 2018 Accum Depreciation</t>
  </si>
  <si>
    <t>Annualized Accretion Expense 12/31/2018</t>
  </si>
  <si>
    <t>EOP - Dec 2018</t>
  </si>
  <si>
    <t>AMA - Dec 2018</t>
  </si>
  <si>
    <t>Assets Retirement Obligations (Recovered in Rates):</t>
  </si>
  <si>
    <t>Balance Sheet Account</t>
  </si>
  <si>
    <t>Add Assets Retirements Obligations</t>
  </si>
  <si>
    <t>Total All Production</t>
  </si>
  <si>
    <t>Total Treasury Grants</t>
  </si>
  <si>
    <t>108TGrant ARO RCW 80.84</t>
  </si>
  <si>
    <t>108TGrant ARC RCW 80.84</t>
  </si>
  <si>
    <t>108-TGrant RCW 80.84</t>
  </si>
  <si>
    <t>Snoq Treasury Grants</t>
  </si>
  <si>
    <t>Baker Treasury Grants</t>
  </si>
  <si>
    <t>SNOQ &amp; BAKER TREASURY GRANTS (NEW)</t>
  </si>
  <si>
    <t>TOTAL OTHER PRODUCTION</t>
  </si>
  <si>
    <t>Easements</t>
  </si>
  <si>
    <t>E3401</t>
  </si>
  <si>
    <t>Energy Storage Equipment</t>
  </si>
  <si>
    <t>E348</t>
  </si>
  <si>
    <t>Asset Retirement Costs</t>
  </si>
  <si>
    <t>E347</t>
  </si>
  <si>
    <t>Other Production</t>
  </si>
  <si>
    <t>E346</t>
  </si>
  <si>
    <t>Accessory Electric Equip</t>
  </si>
  <si>
    <t>E345</t>
  </si>
  <si>
    <t>E344</t>
  </si>
  <si>
    <t>Fuel Holders &amp; Accessories</t>
  </si>
  <si>
    <t>E342</t>
  </si>
  <si>
    <t>Structures &amp; Improvements *</t>
  </si>
  <si>
    <t>E341</t>
  </si>
  <si>
    <t>TOTAL HYDRO PRODUCTION</t>
  </si>
  <si>
    <t>E3301</t>
  </si>
  <si>
    <t>E337</t>
  </si>
  <si>
    <t>Roads, Trails &amp; Bridges</t>
  </si>
  <si>
    <t>E336</t>
  </si>
  <si>
    <t>Misc Power Plant Equipment</t>
  </si>
  <si>
    <t>E335</t>
  </si>
  <si>
    <t>E334</t>
  </si>
  <si>
    <t>Waterwheels, turbines</t>
  </si>
  <si>
    <t>E333</t>
  </si>
  <si>
    <t>Reservoirs, Dams &amp; Waterways</t>
  </si>
  <si>
    <t>E332</t>
  </si>
  <si>
    <t>E331</t>
  </si>
  <si>
    <t>TOTAL STEAM PRODUCTION</t>
  </si>
  <si>
    <t>E317</t>
  </si>
  <si>
    <t>E316</t>
  </si>
  <si>
    <t>E315</t>
  </si>
  <si>
    <t>Turbogenerator Units</t>
  </si>
  <si>
    <t>E314</t>
  </si>
  <si>
    <t>Boiler Plant Equipment</t>
  </si>
  <si>
    <t>E312</t>
  </si>
  <si>
    <t>E311</t>
  </si>
  <si>
    <t>DEPRECIABLE PRODUCTION PLANT</t>
  </si>
  <si>
    <t>12 Mo. Depreciation Expense  12/31/2018</t>
  </si>
  <si>
    <t>13 Mo. Accum Depr (AMA)  12/31/2018</t>
  </si>
  <si>
    <t>13 Mo. AMA 12/31/2018</t>
  </si>
  <si>
    <t>FERC Account or Group Asset #</t>
  </si>
  <si>
    <t>BEGINNING PRODUCTION PLANT</t>
  </si>
  <si>
    <t>FOR THE TEST YEAR ENDED DECEMBER 31, 2018</t>
  </si>
  <si>
    <t>PRODUCTION PLANT INFORMATION</t>
  </si>
  <si>
    <t>PUGET SOUND ENERGY</t>
  </si>
  <si>
    <t>Acquisition Adjustment (114 and 115 Accounts)</t>
  </si>
  <si>
    <t>Total</t>
  </si>
  <si>
    <t>Total Transmission Rate Base</t>
  </si>
  <si>
    <t>Colstrip Def Depr FERC Adj, net of accum amort</t>
  </si>
  <si>
    <t>Colstrip Common FERC Adj, net of accum amort</t>
  </si>
  <si>
    <t xml:space="preserve">Transmission portion of: </t>
  </si>
  <si>
    <t>Total Transmission</t>
  </si>
  <si>
    <t>TOTAL NORTHERN INTERTIE</t>
  </si>
  <si>
    <t>Roads &amp; Trails</t>
  </si>
  <si>
    <t>E359</t>
  </si>
  <si>
    <t>OH Conductors &amp; Devices</t>
  </si>
  <si>
    <t>E356</t>
  </si>
  <si>
    <t>Poles &amp; Fixtures</t>
  </si>
  <si>
    <t>E355</t>
  </si>
  <si>
    <t>Towers &amp; Fixtures</t>
  </si>
  <si>
    <t>E354</t>
  </si>
  <si>
    <t>Station Equipment</t>
  </si>
  <si>
    <t>E353</t>
  </si>
  <si>
    <t>E352</t>
  </si>
  <si>
    <t>E351</t>
  </si>
  <si>
    <t>Land and Land Rights</t>
  </si>
  <si>
    <t>E350</t>
  </si>
  <si>
    <t>TRANS - NORTHERN INTERTIE</t>
  </si>
  <si>
    <t>TOTAL 3RD NW-SW INTERTIE</t>
  </si>
  <si>
    <t>TRANS - 3RD AC INTERTIE</t>
  </si>
  <si>
    <t>TOTAL COLSTRIP 3&amp;4 TRANSMISSION</t>
  </si>
  <si>
    <t>TRANS - COLSTRIP 3 &amp; 4</t>
  </si>
  <si>
    <t>TOTAL COLSTRIP 1&amp;2 TRANSMISSION</t>
  </si>
  <si>
    <t>TRANS - COLSTRIP 1 &amp; 2</t>
  </si>
  <si>
    <t xml:space="preserve">12 Months Depreciation </t>
  </si>
  <si>
    <t>EOP Accum Depr/Amort</t>
  </si>
  <si>
    <t>Plant EOP 12/31/2018</t>
  </si>
  <si>
    <t>AMA Accum Depr/Amort</t>
  </si>
  <si>
    <t>Plant AMA 12/31/2018</t>
  </si>
  <si>
    <t>FERC</t>
  </si>
  <si>
    <t>FOR THE TEST YEAR ENDED DEC 31, 2018</t>
  </si>
  <si>
    <t>TRANSMISSION PLANT INFORMATION</t>
  </si>
  <si>
    <t>COLSTRIP, 3RD AC &amp; NORTHERN INTERTIE</t>
  </si>
  <si>
    <t>Other DTA for Production ARC/ARO</t>
  </si>
  <si>
    <t>28300101 - DFIT ARO Colstrip</t>
  </si>
  <si>
    <t>Net Production Plant</t>
  </si>
  <si>
    <t>Add DFIT EIM</t>
  </si>
  <si>
    <t>Less Colstrip Transm. Plant</t>
  </si>
  <si>
    <t>Less CNG</t>
  </si>
  <si>
    <t>Sub Total</t>
  </si>
  <si>
    <t>EOP Dec 2018</t>
  </si>
  <si>
    <t xml:space="preserve"> </t>
  </si>
  <si>
    <t>Wild Horse</t>
  </si>
  <si>
    <t>Whitehorn</t>
  </si>
  <si>
    <t>Upper Baker</t>
  </si>
  <si>
    <t>Sumas</t>
  </si>
  <si>
    <t>Wild Horse Solar</t>
  </si>
  <si>
    <t>Snoqualmie</t>
  </si>
  <si>
    <t>Mint Farm</t>
  </si>
  <si>
    <t>Lower Snake River</t>
  </si>
  <si>
    <t>Lower Baker</t>
  </si>
  <si>
    <t>Hopkins Ridge</t>
  </si>
  <si>
    <t>Goldendale</t>
  </si>
  <si>
    <t>Fredrickson #1 - EPCOR</t>
  </si>
  <si>
    <t>Fredrickson</t>
  </si>
  <si>
    <t>Fredonia</t>
  </si>
  <si>
    <t>Encogen</t>
  </si>
  <si>
    <t>Crystal Mountain</t>
  </si>
  <si>
    <t>Colstrip Transmission</t>
  </si>
  <si>
    <t>Colstrip 3&amp;4</t>
  </si>
  <si>
    <t>Colstrip 1&amp;2</t>
  </si>
  <si>
    <t>CNG</t>
  </si>
  <si>
    <t>AMA Dec to Dec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</si>
  <si>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</si>
  <si>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</si>
  <si>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</si>
  <si>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</si>
  <si>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</si>
  <si>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</si>
  <si>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</si>
  <si>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</si>
  <si>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</si>
  <si>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</si>
  <si>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</si>
  <si>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</si>
  <si>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EOY</t>
  </si>
  <si>
    <t>Using 2008, 2009, 2010, 2011, 2012, 2013, 2014, 2015, 2016, 2017 Provision Balances</t>
  </si>
  <si>
    <t>Calculation of Production Plant 2009,2010, 2011,2012,2013,2014,2015,2016 and 2017 AMA Deferred Tax Balances</t>
  </si>
  <si>
    <t>2018 Q4</t>
  </si>
  <si>
    <t>ADIT</t>
  </si>
  <si>
    <t>DIT Exp</t>
  </si>
  <si>
    <t xml:space="preserve"> Fed Rate </t>
  </si>
  <si>
    <t xml:space="preserve"> BK/TX Diff Current</t>
  </si>
  <si>
    <t xml:space="preserve"> BK/TX Diff Cummulative</t>
  </si>
  <si>
    <t>Net Tax Basis</t>
  </si>
  <si>
    <t xml:space="preserve"> Accumulated
 Reserve </t>
  </si>
  <si>
    <t xml:space="preserve"> Tax Depreciation </t>
  </si>
  <si>
    <t xml:space="preserve"> Ending Tax
 Balance </t>
  </si>
  <si>
    <t>Net Book Basis</t>
  </si>
  <si>
    <t xml:space="preserve"> Accumulated
 Book Reserve </t>
  </si>
  <si>
    <t xml:space="preserve"> Book Depreciation </t>
  </si>
  <si>
    <t xml:space="preserve"> Ending Book Balance </t>
  </si>
  <si>
    <t>Tax Year</t>
  </si>
  <si>
    <t>EIM Software</t>
  </si>
  <si>
    <t>DFIT balance as of 12/31/2018</t>
  </si>
  <si>
    <t>NOT APPLICABLE</t>
  </si>
  <si>
    <t>MONTHLY DEPRECIATION</t>
  </si>
  <si>
    <t>ANNUAL DEPRECIATION</t>
  </si>
  <si>
    <t>REMAINING YEARS</t>
  </si>
  <si>
    <t>1987 DEPRECIATION</t>
  </si>
  <si>
    <t>AMA</t>
  </si>
  <si>
    <t>BALANCE</t>
  </si>
  <si>
    <t>TRANSMISSION</t>
  </si>
  <si>
    <t>PRODUCTION</t>
  </si>
  <si>
    <t>TOTAL</t>
  </si>
  <si>
    <t>GENERAL</t>
  </si>
  <si>
    <t>AMA on b</t>
  </si>
  <si>
    <t>AMA on a</t>
  </si>
  <si>
    <t>AMA on d</t>
  </si>
  <si>
    <t>d = a + b + c</t>
  </si>
  <si>
    <t>c</t>
  </si>
  <si>
    <t>b</t>
  </si>
  <si>
    <t>a</t>
  </si>
  <si>
    <t>COLSTRIP FERC RATE BASE</t>
  </si>
  <si>
    <t>Allocation to Interest</t>
  </si>
  <si>
    <t>Colstrip Def Depr FERC Adj</t>
  </si>
  <si>
    <t xml:space="preserve">Period </t>
  </si>
  <si>
    <t>Cum. balance</t>
  </si>
  <si>
    <t>Balance</t>
  </si>
  <si>
    <t>Plant AMA</t>
  </si>
  <si>
    <t>Electric - Colstrip</t>
  </si>
  <si>
    <t>Account</t>
  </si>
  <si>
    <t xml:space="preserve">Whitehorn </t>
  </si>
  <si>
    <t xml:space="preserve">Mint Farm </t>
  </si>
  <si>
    <t xml:space="preserve">Encogen </t>
  </si>
  <si>
    <t>12ME Dec 31, 2018</t>
  </si>
  <si>
    <t>Amortization Expense</t>
  </si>
  <si>
    <t>Acc Amt Acq Adj Fern</t>
  </si>
  <si>
    <t>40600061 Ferndale - Amort o</t>
  </si>
  <si>
    <t>Acc Amrt Acq Adj MTF</t>
  </si>
  <si>
    <t>40600041 1150 - MNT - Amort of Ele</t>
  </si>
  <si>
    <t>Acc Amrt Aq Aj Encog</t>
  </si>
  <si>
    <t>Depreciation Expense</t>
  </si>
  <si>
    <t>40600031 Amort of Acquisition Adj</t>
  </si>
  <si>
    <t>% allocate for Colstrip</t>
  </si>
  <si>
    <t>40600012 Amort Exp-Colstrip Common</t>
  </si>
  <si>
    <t>Offset. acct name</t>
  </si>
  <si>
    <t>Offst.acct</t>
  </si>
  <si>
    <t xml:space="preserve">     Val.in RC</t>
  </si>
  <si>
    <t>Cost element name</t>
  </si>
  <si>
    <t>Period</t>
  </si>
  <si>
    <t>Account 406 Detail: 12ME Dec 2018</t>
  </si>
  <si>
    <t>Order</t>
  </si>
  <si>
    <t>BROKERAGE FEES</t>
  </si>
  <si>
    <t>Amort.Beg May 14,2014</t>
  </si>
  <si>
    <t>(b) + (e) = (f)</t>
  </si>
  <si>
    <t>prior mo - (d) = (e)</t>
  </si>
  <si>
    <t>(c) = (b) ÷ 535 mo</t>
  </si>
  <si>
    <t>(b)</t>
  </si>
  <si>
    <t xml:space="preserve">(a) </t>
  </si>
  <si>
    <t xml:space="preserve"> of Accum Amort</t>
  </si>
  <si>
    <t>Amortization</t>
  </si>
  <si>
    <t>Activity</t>
  </si>
  <si>
    <t>Month/Period</t>
  </si>
  <si>
    <t>Balance Net</t>
  </si>
  <si>
    <t>Accumulated</t>
  </si>
  <si>
    <t>Monthly</t>
  </si>
  <si>
    <t xml:space="preserve">Monthly </t>
  </si>
  <si>
    <t xml:space="preserve">Grant receipt date of May 14, 2014 </t>
  </si>
  <si>
    <t xml:space="preserve">BAKER TREASURY GRANTS </t>
  </si>
  <si>
    <t xml:space="preserve">Grant receipt date of Apr 24, 2014 </t>
  </si>
  <si>
    <t xml:space="preserve">SNOQUALMIE TREASURY GRANTS </t>
  </si>
  <si>
    <t>Test Yr</t>
  </si>
  <si>
    <t>$/MWh</t>
  </si>
  <si>
    <t>(I)</t>
  </si>
  <si>
    <t>(II)</t>
  </si>
  <si>
    <t>(III)</t>
  </si>
  <si>
    <t>Regulatory Asset Recovery (on Row 3)</t>
  </si>
  <si>
    <t>Equity Adder Centralia Coal Transition PPA</t>
  </si>
  <si>
    <t>Fixed Asset Recovery Other (on Row 4)</t>
  </si>
  <si>
    <t>Fixed Asset Recovery-Prod Factored (on Row 5)</t>
  </si>
  <si>
    <t>557-Other Power Exp</t>
  </si>
  <si>
    <t>Payroll Overheads - Benefits</t>
  </si>
  <si>
    <t>Montana Electric Energy Tax</t>
  </si>
  <si>
    <t>Payroll Taxes on Production Wages</t>
  </si>
  <si>
    <t>Brokerage Fees #55700003</t>
  </si>
  <si>
    <t>Variable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</si>
  <si>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</si>
  <si>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</si>
  <si>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</si>
  <si>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</si>
  <si>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</si>
  <si>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</si>
  <si>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Subtotal &amp; Baseline Rate</t>
  </si>
  <si>
    <t>Revenue Sensitive Items</t>
  </si>
  <si>
    <t>Grossed up for RSI</t>
  </si>
  <si>
    <t>Test Year DELIVERED Load (MWh's)</t>
  </si>
  <si>
    <t>Before Rev.</t>
  </si>
  <si>
    <t>After Rev.</t>
  </si>
  <si>
    <t>Sensitive Items</t>
  </si>
  <si>
    <t>Power Cost Baseline Rate</t>
  </si>
  <si>
    <t xml:space="preserve">Fixed Production Costs </t>
  </si>
  <si>
    <t>Variable Production Costs</t>
  </si>
  <si>
    <t>TY Other Pwr 557</t>
  </si>
  <si>
    <t>TY Prod O&amp;M</t>
  </si>
  <si>
    <t>F</t>
  </si>
  <si>
    <t>V</t>
  </si>
  <si>
    <t>Production Rate Base Summary</t>
  </si>
  <si>
    <t>Plant Balance</t>
  </si>
  <si>
    <t>Accumulated Depreciation</t>
  </si>
  <si>
    <t>Accumulated Amortization</t>
  </si>
  <si>
    <t>Deferred FIT</t>
  </si>
  <si>
    <t>Total Production Plant</t>
  </si>
  <si>
    <t>Type</t>
  </si>
  <si>
    <t>TY Bal</t>
  </si>
  <si>
    <t>Adjustment</t>
  </si>
  <si>
    <t>Remove EIM</t>
  </si>
  <si>
    <t>Colstrip Common Ferc Adj (Calc'd by Rates Dept)</t>
  </si>
  <si>
    <t xml:space="preserve">     Total Production Rate Base</t>
  </si>
  <si>
    <t>Remove Wild Horse Solar</t>
  </si>
  <si>
    <t>For Benefits, and Payroll Tax, and other Related Costs:</t>
  </si>
  <si>
    <t>Rate Year</t>
  </si>
  <si>
    <t>NON POWER COST RELATED REG ASSETS &amp; LIAB</t>
  </si>
  <si>
    <t>WHITE RIVER PLANT COSTS</t>
  </si>
  <si>
    <t>CARRYING CHARGES ON LSR PREPAID TRANSM</t>
  </si>
  <si>
    <t>MINT FARM DEFFRED - UE-090704 (ends Mar 2025)</t>
  </si>
  <si>
    <t>TOTAL NON-POWER COST RELATED</t>
  </si>
  <si>
    <t>Check=&gt;</t>
  </si>
  <si>
    <t>Depreciation to</t>
  </si>
  <si>
    <t>be Production</t>
  </si>
  <si>
    <t>Colstrip Deferred Depr. FERC Adj.  (Calc'd by Rates Dept)</t>
  </si>
  <si>
    <t>(IV)</t>
  </si>
  <si>
    <t>(V)</t>
  </si>
  <si>
    <t>Fixed</t>
  </si>
  <si>
    <t>Prod Costs</t>
  </si>
  <si>
    <t>In Decoupling</t>
  </si>
  <si>
    <t>Variable</t>
  </si>
  <si>
    <t>in PCA</t>
  </si>
  <si>
    <t xml:space="preserve">FERC </t>
  </si>
  <si>
    <t xml:space="preserve">Non PF'd </t>
  </si>
  <si>
    <t>Further Detail for Production Expense Components of Base Line Rate</t>
  </si>
  <si>
    <t>Incentive component of 557</t>
  </si>
  <si>
    <t>Wage component of 557</t>
  </si>
  <si>
    <t>557 Other Power Costs</t>
  </si>
  <si>
    <t>Rev Req (Column (II) )</t>
  </si>
  <si>
    <t xml:space="preserve">AMA to EOP </t>
  </si>
  <si>
    <t>Reconciliation to Model</t>
  </si>
  <si>
    <t>Depreciable and Non Depreciable (EOP)</t>
  </si>
  <si>
    <t>In Model</t>
  </si>
  <si>
    <t>A-1</t>
  </si>
  <si>
    <t>PC Lines 10a, 13,14,15,16,17,20</t>
  </si>
  <si>
    <t>Main Items</t>
  </si>
  <si>
    <t>AMA to EOP Test Year Depreciation</t>
  </si>
  <si>
    <t xml:space="preserve">ARO DIT </t>
  </si>
  <si>
    <t>12/31/2018</t>
  </si>
  <si>
    <t>Existing M-1</t>
  </si>
  <si>
    <t>Production Electric</t>
  </si>
  <si>
    <t>T&amp;D Electric</t>
  </si>
  <si>
    <t>Colstrip</t>
  </si>
  <si>
    <t>Gas</t>
  </si>
  <si>
    <t xml:space="preserve">ARC &amp; ARO Per PA </t>
  </si>
  <si>
    <t>ARC</t>
  </si>
  <si>
    <t xml:space="preserve">ARO </t>
  </si>
  <si>
    <t>cumulative timing diff</t>
  </si>
  <si>
    <t>DIFF</t>
  </si>
  <si>
    <t>GROSS</t>
  </si>
  <si>
    <t>Computed DTA</t>
  </si>
  <si>
    <t>ARC RPT 1124</t>
  </si>
  <si>
    <t>ARO RPT 1000</t>
  </si>
  <si>
    <t>Purchased Power</t>
  </si>
  <si>
    <t>Fuel</t>
  </si>
  <si>
    <t>Wheeling</t>
  </si>
  <si>
    <t>Sales to Other Utilities</t>
  </si>
  <si>
    <t>Pwr Cost Bridge</t>
  </si>
  <si>
    <t xml:space="preserve">    Subtotal</t>
  </si>
  <si>
    <t>Less: Production O&amp;M</t>
  </si>
  <si>
    <t>Less:  Transmission Exp - 500KV</t>
  </si>
  <si>
    <t>Add:  Wage and Incentive Adj</t>
  </si>
  <si>
    <t>s/b zero</t>
  </si>
  <si>
    <t>From Power Cost Bridge</t>
  </si>
  <si>
    <t>Less: Sales of Non Core Gas</t>
  </si>
  <si>
    <t>Sales of Non Core Gas</t>
  </si>
  <si>
    <t>Variable Transmission Inc</t>
  </si>
  <si>
    <t>Less:  Variable Transmission Trans Inc</t>
  </si>
  <si>
    <t>Other Items in A-1</t>
  </si>
  <si>
    <t>Reg Assets &amp; Liab</t>
  </si>
  <si>
    <t>Payroll Overheads</t>
  </si>
  <si>
    <t>Payroll Taxes on Prod Wages</t>
  </si>
  <si>
    <t>Depreciation &amp; Amort Prod (FERC 403)</t>
  </si>
  <si>
    <t>Depreciation Transmission</t>
  </si>
  <si>
    <t>456-Purch/Sale of Non-core Gas</t>
  </si>
  <si>
    <t>Total Exhibits A-1 Expenses</t>
  </si>
  <si>
    <t>Return on Rate Base</t>
  </si>
  <si>
    <t>Total A-1</t>
  </si>
  <si>
    <t>Power Cost O&amp;M</t>
  </si>
  <si>
    <t>Total O&amp;M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</si>
  <si>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</si>
  <si>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</si>
  <si>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</si>
  <si>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</si>
  <si>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</si>
  <si>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</si>
  <si>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</si>
  <si>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</si>
  <si>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</si>
  <si>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Inc Stmt Line 12 Purch&amp;Interchgd</t>
  </si>
  <si>
    <t>Line 17 - 565 Wheeling</t>
  </si>
  <si>
    <t>Inc Stmt Line 13 Wheeling</t>
  </si>
  <si>
    <t>Line 19 Production O&amp;M</t>
  </si>
  <si>
    <t>Line 20 - 447 Sales to Others</t>
  </si>
  <si>
    <t>Inc Stmt Line 4 Sales to Other Util</t>
  </si>
  <si>
    <t>s/b zero==&gt;</t>
  </si>
  <si>
    <t>Wages Increase and Incentive</t>
  </si>
  <si>
    <t>Ex A-1 Purchased and Interchanged</t>
  </si>
  <si>
    <t>Inc Stmt Line 17 Other Pwr Supply Exp</t>
  </si>
  <si>
    <t>INTERNAL RECON:</t>
  </si>
  <si>
    <t>EOP Test Year</t>
  </si>
  <si>
    <t>Colstrip Depreciation Expense</t>
  </si>
  <si>
    <t>Accumulated Depreciation (EOP)</t>
  </si>
  <si>
    <t>Deferred Taxes (EOP)</t>
  </si>
  <si>
    <t>Colstrip Depreciation Adjustment</t>
  </si>
  <si>
    <t>EOP 12/31/2018</t>
  </si>
  <si>
    <t>Accum Depr (EOP)  12/31/2018</t>
  </si>
  <si>
    <t>12/2018</t>
  </si>
  <si>
    <t>Mint Farm Acq. Adjustment</t>
  </si>
  <si>
    <t>ARO-Colstrip unit 1&amp;2 Ash Pond Capping (contra acct)</t>
  </si>
  <si>
    <t>ARO - Colstrip unit 3&amp;4 Ash Pond Cappin (contra account)</t>
  </si>
  <si>
    <t xml:space="preserve">C3912 </t>
  </si>
  <si>
    <t>Computer Eq, new  (EIM #143002134)</t>
  </si>
  <si>
    <t>Yrly Amortization</t>
  </si>
  <si>
    <t>Beginning</t>
  </si>
  <si>
    <t>Months</t>
  </si>
  <si>
    <t>Ending</t>
  </si>
  <si>
    <t>Month</t>
  </si>
  <si>
    <t>Remaining</t>
  </si>
  <si>
    <t>DEC 2018 BALANCE</t>
  </si>
  <si>
    <t>AMA - 12ME APR '21</t>
  </si>
  <si>
    <t xml:space="preserve">Unprotected DFIT Reg Assets </t>
  </si>
  <si>
    <t xml:space="preserve">UNPROTECTED DFIT ADJUSTMENT RELATED TO REG ASSET </t>
  </si>
  <si>
    <t>TY</t>
  </si>
  <si>
    <t>RESTATED</t>
  </si>
  <si>
    <t>PROFORMA</t>
  </si>
  <si>
    <t>ACTUAL</t>
  </si>
  <si>
    <t>ADJUSTMENT</t>
  </si>
  <si>
    <t>(a)</t>
  </si>
  <si>
    <t>(c)=(b)-(a)</t>
  </si>
  <si>
    <t>(d)</t>
  </si>
  <si>
    <t>(e)=(d)-(b)</t>
  </si>
  <si>
    <t>RATEBASE:</t>
  </si>
  <si>
    <t>UNPROTECTED DFIT</t>
  </si>
  <si>
    <t>TOTAL RATE BASE</t>
  </si>
  <si>
    <t>EXPENSES:</t>
  </si>
  <si>
    <t>411.1 ANNUAL AMORTIZATION</t>
  </si>
  <si>
    <t>INCREASE (DECREASE) OPERATING EXPENSE</t>
  </si>
  <si>
    <t>FOR EXH -A 1 (related to Production Unprotected DFIT adjustment into Reg Asset Balance)</t>
  </si>
  <si>
    <t>AMA Depreciation</t>
  </si>
  <si>
    <t>EOP Depreciation</t>
  </si>
  <si>
    <t>EOP Adjustment</t>
  </si>
  <si>
    <t>E35010 TSM Easement,Colstrip 1-2Com</t>
  </si>
  <si>
    <t>E35099 (GIF) Easement, Colstrip 1-2</t>
  </si>
  <si>
    <t>E3539 (GIF) Sta Eq, Colstrip 1-2</t>
  </si>
  <si>
    <t>E354 TSM Twr/Fixt, Colstrip 1-2 Com</t>
  </si>
  <si>
    <t xml:space="preserve">E3549 (GIF) Twr/Fixt, Colstrip 1-2 </t>
  </si>
  <si>
    <t>E3559 (GIF) Poles, Colstrip 1-2</t>
  </si>
  <si>
    <t>E356 TSM O/H Cond, Colstrip 1-2 Com</t>
  </si>
  <si>
    <t>E3569 (GIF) O/H Cond, Colstrip 1-2</t>
  </si>
  <si>
    <t>E3590 TSM Roads, Colstrip 1-2 Com</t>
  </si>
  <si>
    <t>E35010 TSM Easement,Colstrip 3-4Com</t>
  </si>
  <si>
    <t>E352 TSM Str/Impv, Colstrip 3-4 Com</t>
  </si>
  <si>
    <t xml:space="preserve">E353 TSM Sta Eq, Colstrip 3-4 </t>
  </si>
  <si>
    <t xml:space="preserve">E3539 (GIF) Sta Eq, Colstrip 3-4 </t>
  </si>
  <si>
    <t>E354 TSM Twr/Fixt, Colstrip 3-4 Com</t>
  </si>
  <si>
    <t>E3549 (GIF) Twr/Fixt, Colstrip 3-4</t>
  </si>
  <si>
    <t>E3559 (GIF) Poles, Colstrip 3-4</t>
  </si>
  <si>
    <t>E356 TSM O/H Cond, Colstrip 3-4 Com</t>
  </si>
  <si>
    <t>E3569 (GIF) O/H Cond, Colstrip 3-4</t>
  </si>
  <si>
    <t>E3590 TSM Roads, Colstrip 3-4 Com</t>
  </si>
  <si>
    <t>E352 TSM Str/Impv, 3rd AC Line</t>
  </si>
  <si>
    <t>E353 TSM Sta Eq, 3rd AC Line</t>
  </si>
  <si>
    <t>E354 TSM Twr/Fixt, 3rd AC Line</t>
  </si>
  <si>
    <t>E355 TSM Poles, 3rd AC Line</t>
  </si>
  <si>
    <t>E356 TSM O/H Cond, 3rd AC Line</t>
  </si>
  <si>
    <t>E3590 TSM Roads, 3rd AC Line</t>
  </si>
  <si>
    <t>E354 TSM Twr/Fixt, N Intertie</t>
  </si>
  <si>
    <t>E355 TSM Poles, N Intertie</t>
  </si>
  <si>
    <t>E356 TSM O/H Cond, N Intertie</t>
  </si>
  <si>
    <t>AMA to EOP Adjustment  Accum Deprec and Deprec Expense</t>
  </si>
  <si>
    <t>AMA to EOP Adjustment  DFIT</t>
  </si>
  <si>
    <t>INT Misc Intangible Plant (EIM #143002080)</t>
  </si>
  <si>
    <t>EXH. SEF-23.01 Page 1 of 1</t>
  </si>
  <si>
    <t>Amounts in bold and italics are different from September  17, 2019 Supplemental filing.</t>
  </si>
  <si>
    <t>Amortization starts April 24, 2014 and ends June 2044 (362 mos)</t>
  </si>
  <si>
    <t>Amortization starts May 2014 and ends Nov 2058 (535 mos)</t>
  </si>
  <si>
    <t xml:space="preserve">Net of tax rate of return </t>
  </si>
  <si>
    <r>
      <t xml:space="preserve">(1)  TY </t>
    </r>
    <r>
      <rPr>
        <b/>
        <i/>
        <sz val="10"/>
        <color theme="1"/>
        <rFont val="Arial"/>
        <family val="2"/>
      </rPr>
      <t>Benefits</t>
    </r>
    <r>
      <rPr>
        <sz val="10"/>
        <color theme="1"/>
        <rFont val="Arial"/>
        <family val="2"/>
      </rPr>
      <t xml:space="preserve"> and </t>
    </r>
    <r>
      <rPr>
        <b/>
        <i/>
        <sz val="10"/>
        <color theme="1"/>
        <rFont val="Arial"/>
        <family val="2"/>
      </rPr>
      <t>Payroll Tax</t>
    </r>
    <r>
      <rPr>
        <sz val="10"/>
        <color theme="1"/>
        <rFont val="Arial"/>
        <family val="2"/>
      </rPr>
      <t xml:space="preserve"> are </t>
    </r>
    <r>
      <rPr>
        <b/>
        <i/>
        <sz val="10"/>
        <color theme="1"/>
        <rFont val="Arial"/>
        <family val="2"/>
      </rPr>
      <t>removed</t>
    </r>
    <r>
      <rPr>
        <sz val="10"/>
        <color theme="1"/>
        <rFont val="Arial"/>
        <family val="2"/>
      </rPr>
      <t xml:space="preserve"> from Power Costs in the "Power Cost Bridge to A-1" tab.  The removal of these test year costs</t>
    </r>
  </si>
  <si>
    <r>
      <t>year costs are considered, only the</t>
    </r>
    <r>
      <rPr>
        <b/>
        <i/>
        <sz val="10"/>
        <color theme="1"/>
        <rFont val="Arial"/>
        <family val="2"/>
      </rPr>
      <t xml:space="preserve"> change</t>
    </r>
    <r>
      <rPr>
        <sz val="10"/>
        <color theme="1"/>
        <rFont val="Arial"/>
        <family val="2"/>
      </rPr>
      <t xml:space="preserve"> to the test year must be production factored in other adjustments that impact Benefits and Tax costs</t>
    </r>
  </si>
  <si>
    <r>
      <t>501-Steam Fuel</t>
    </r>
    <r>
      <rPr>
        <sz val="8"/>
        <color theme="1"/>
        <rFont val="Arial"/>
        <family val="2"/>
      </rPr>
      <t xml:space="preserve"> Incl Reg Amort</t>
    </r>
  </si>
  <si>
    <r>
      <t>555-Purchased power</t>
    </r>
    <r>
      <rPr>
        <sz val="8"/>
        <color theme="1"/>
        <rFont val="Arial"/>
        <family val="2"/>
      </rPr>
      <t xml:space="preserve"> Incl Reg Amort</t>
    </r>
  </si>
  <si>
    <r>
      <t xml:space="preserve">547-Fuel </t>
    </r>
    <r>
      <rPr>
        <sz val="8"/>
        <color theme="1"/>
        <rFont val="Arial"/>
        <family val="2"/>
      </rPr>
      <t>Incl Reg Amort</t>
    </r>
  </si>
  <si>
    <r>
      <t xml:space="preserve">565-Wheeling </t>
    </r>
    <r>
      <rPr>
        <sz val="8"/>
        <color theme="1"/>
        <rFont val="Arial"/>
        <family val="2"/>
      </rPr>
      <t>Incl Reg Amort</t>
    </r>
  </si>
  <si>
    <r>
      <t xml:space="preserve">Amortization  - Reg Assets - </t>
    </r>
    <r>
      <rPr>
        <sz val="8"/>
        <color theme="1"/>
        <rFont val="Arial"/>
        <family val="2"/>
      </rPr>
      <t>Non PC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</si>
</sst>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_);_(* \(#,##0.000\);_(* &quot;-&quot;??_);_(@_)"/>
    <numFmt numFmtId="168" formatCode="[$-409]mmm\-yy;@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000_);_(* \(#,##0.000000\);_(* &quot;-&quot;??_);_(@_)"/>
    <numFmt numFmtId="173" formatCode="0.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8"/>
      <color theme="1"/>
      <name val="Helv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Helv"/>
    </font>
    <font>
      <b/>
      <sz val="11"/>
      <color theme="1"/>
      <name val="Calibri"/>
      <family val="2"/>
    </font>
    <font>
      <b/>
      <sz val="11"/>
      <color theme="1"/>
      <name val="Helv"/>
    </font>
    <font>
      <b/>
      <u val="double"/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Times New Roman"/>
      <family val="1"/>
    </font>
    <font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43" fontId="1" fillId="0" borderId="0" applyFont="0" applyFill="0" applyBorder="0" applyAlignment="0" applyProtection="0"/>
  </cellStyleXfs>
  <cellXfs count="458">
    <xf numFmtId="0" fontId="0" fillId="0" borderId="0" xfId="0"/>
    <xf numFmtId="0" fontId="3" fillId="0" borderId="0" xfId="0" applyNumberFormat="1" applyFont="1" applyFill="1" applyAlignment="1">
      <alignment horizontal="center"/>
    </xf>
    <xf numFmtId="41" fontId="0" fillId="0" borderId="0" xfId="0" applyNumberFormat="1" applyFont="1" applyFill="1"/>
    <xf numFmtId="164" fontId="2" fillId="0" borderId="15" xfId="0" applyNumberFormat="1" applyFont="1" applyFill="1" applyBorder="1"/>
    <xf numFmtId="0" fontId="10" fillId="0" borderId="19" xfId="0" applyFont="1" applyFill="1" applyBorder="1" applyAlignment="1">
      <alignment horizontal="right"/>
    </xf>
    <xf numFmtId="0" fontId="11" fillId="0" borderId="0" xfId="0" applyFont="1" applyFill="1"/>
    <xf numFmtId="43" fontId="0" fillId="0" borderId="0" xfId="0" applyNumberFormat="1" applyFont="1" applyFill="1"/>
    <xf numFmtId="164" fontId="0" fillId="0" borderId="3" xfId="0" applyNumberFormat="1" applyFont="1" applyFill="1" applyBorder="1"/>
    <xf numFmtId="164" fontId="0" fillId="0" borderId="17" xfId="0" applyNumberFormat="1" applyFont="1" applyFill="1" applyBorder="1"/>
    <xf numFmtId="164" fontId="0" fillId="0" borderId="0" xfId="0" applyNumberFormat="1" applyFont="1" applyFill="1" applyBorder="1"/>
    <xf numFmtId="43" fontId="0" fillId="0" borderId="0" xfId="0" applyNumberFormat="1" applyFont="1" applyFill="1" applyBorder="1"/>
    <xf numFmtId="164" fontId="0" fillId="0" borderId="20" xfId="0" applyNumberFormat="1" applyFont="1" applyFill="1" applyBorder="1"/>
    <xf numFmtId="0" fontId="11" fillId="0" borderId="21" xfId="0" applyFont="1" applyFill="1" applyBorder="1"/>
    <xf numFmtId="17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right"/>
    </xf>
    <xf numFmtId="43" fontId="0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2" fillId="0" borderId="0" xfId="0" applyFont="1" applyFill="1"/>
    <xf numFmtId="0" fontId="5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Alignment="1"/>
    <xf numFmtId="0" fontId="17" fillId="0" borderId="0" xfId="0" applyNumberFormat="1" applyFont="1" applyFill="1" applyAlignment="1"/>
    <xf numFmtId="0" fontId="7" fillId="0" borderId="0" xfId="0" applyNumberFormat="1" applyFont="1" applyFill="1" applyAlignment="1"/>
    <xf numFmtId="0" fontId="3" fillId="0" borderId="0" xfId="0" applyFont="1" applyFill="1" applyBorder="1"/>
    <xf numFmtId="3" fontId="2" fillId="0" borderId="7" xfId="0" applyNumberFormat="1" applyFont="1" applyFill="1" applyBorder="1" applyAlignment="1"/>
    <xf numFmtId="0" fontId="21" fillId="0" borderId="0" xfId="0" applyFont="1" applyFill="1" applyAlignment="1">
      <alignment horizontal="center"/>
    </xf>
    <xf numFmtId="165" fontId="3" fillId="0" borderId="0" xfId="0" applyNumberFormat="1" applyFont="1" applyFill="1"/>
    <xf numFmtId="41" fontId="3" fillId="0" borderId="0" xfId="0" applyNumberFormat="1" applyFont="1" applyFill="1"/>
    <xf numFmtId="164" fontId="3" fillId="0" borderId="0" xfId="0" applyNumberFormat="1" applyFont="1" applyFill="1"/>
    <xf numFmtId="42" fontId="3" fillId="0" borderId="0" xfId="0" applyNumberFormat="1" applyFont="1" applyFill="1"/>
    <xf numFmtId="0" fontId="2" fillId="0" borderId="3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165" fontId="0" fillId="0" borderId="3" xfId="0" applyNumberFormat="1" applyFont="1" applyFill="1" applyBorder="1"/>
    <xf numFmtId="164" fontId="0" fillId="0" borderId="0" xfId="0" applyNumberFormat="1" applyFont="1" applyFill="1"/>
    <xf numFmtId="14" fontId="0" fillId="0" borderId="0" xfId="0" applyNumberFormat="1" applyFont="1" applyFill="1"/>
    <xf numFmtId="0" fontId="0" fillId="0" borderId="0" xfId="0" applyFont="1" applyFill="1"/>
    <xf numFmtId="0" fontId="3" fillId="0" borderId="0" xfId="0" applyFont="1" applyFill="1"/>
    <xf numFmtId="0" fontId="2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8" xfId="0" applyNumberFormat="1" applyFont="1" applyFill="1" applyBorder="1"/>
    <xf numFmtId="0" fontId="2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/>
    <xf numFmtId="0" fontId="15" fillId="0" borderId="0" xfId="0" applyFont="1" applyFill="1"/>
    <xf numFmtId="14" fontId="15" fillId="0" borderId="0" xfId="0" quotePrefix="1" applyNumberFormat="1" applyFont="1" applyFill="1" applyAlignment="1">
      <alignment horizontal="left"/>
    </xf>
    <xf numFmtId="1" fontId="2" fillId="0" borderId="21" xfId="0" applyNumberFormat="1" applyFont="1" applyFill="1" applyBorder="1" applyAlignment="1">
      <alignment horizontal="center" vertical="center" wrapText="1"/>
    </xf>
    <xf numFmtId="14" fontId="2" fillId="0" borderId="27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7" xfId="0" applyNumberFormat="1" applyFont="1" applyFill="1" applyBorder="1" applyAlignment="1">
      <alignment horizontal="center" vertical="center" wrapText="1"/>
    </xf>
    <xf numFmtId="14" fontId="2" fillId="0" borderId="24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14" fontId="2" fillId="0" borderId="38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164" fontId="14" fillId="0" borderId="11" xfId="0" applyNumberFormat="1" applyFont="1" applyFill="1" applyBorder="1"/>
    <xf numFmtId="0" fontId="14" fillId="0" borderId="0" xfId="0" applyFont="1" applyFill="1"/>
    <xf numFmtId="164" fontId="0" fillId="0" borderId="0" xfId="0" applyNumberFormat="1" applyFont="1" applyFill="1" applyAlignment="1">
      <alignment horizontal="left"/>
    </xf>
    <xf numFmtId="0" fontId="18" fillId="0" borderId="0" xfId="0" applyFont="1" applyFill="1"/>
    <xf numFmtId="0" fontId="19" fillId="0" borderId="7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Border="1" applyAlignment="1"/>
    <xf numFmtId="165" fontId="0" fillId="0" borderId="0" xfId="0" applyNumberFormat="1" applyFont="1" applyFill="1"/>
    <xf numFmtId="164" fontId="2" fillId="0" borderId="25" xfId="0" applyNumberFormat="1" applyFont="1" applyFill="1" applyBorder="1"/>
    <xf numFmtId="0" fontId="22" fillId="0" borderId="0" xfId="0" applyFont="1" applyFill="1"/>
    <xf numFmtId="0" fontId="24" fillId="0" borderId="37" xfId="1" applyFont="1" applyFill="1" applyBorder="1" applyAlignment="1">
      <alignment horizontal="centerContinuous"/>
    </xf>
    <xf numFmtId="0" fontId="24" fillId="0" borderId="6" xfId="1" applyFont="1" applyFill="1" applyBorder="1" applyAlignment="1">
      <alignment horizontal="centerContinuous"/>
    </xf>
    <xf numFmtId="0" fontId="24" fillId="0" borderId="44" xfId="1" applyFont="1" applyFill="1" applyBorder="1" applyAlignment="1">
      <alignment horizontal="centerContinuous"/>
    </xf>
    <xf numFmtId="0" fontId="4" fillId="0" borderId="0" xfId="0" applyFont="1" applyFill="1"/>
    <xf numFmtId="43" fontId="3" fillId="0" borderId="0" xfId="0" applyNumberFormat="1" applyFont="1" applyFill="1"/>
    <xf numFmtId="0" fontId="6" fillId="0" borderId="0" xfId="0" applyFont="1" applyFill="1"/>
    <xf numFmtId="0" fontId="25" fillId="0" borderId="0" xfId="0" applyNumberFormat="1" applyFont="1" applyFill="1" applyAlignment="1"/>
    <xf numFmtId="0" fontId="26" fillId="0" borderId="0" xfId="0" applyNumberFormat="1" applyFont="1" applyFill="1" applyAlignment="1"/>
    <xf numFmtId="0" fontId="27" fillId="0" borderId="0" xfId="0" applyNumberFormat="1" applyFont="1" applyFill="1" applyAlignment="1"/>
    <xf numFmtId="0" fontId="25" fillId="0" borderId="4" xfId="0" applyNumberFormat="1" applyFont="1" applyFill="1" applyBorder="1" applyAlignment="1"/>
    <xf numFmtId="0" fontId="26" fillId="0" borderId="11" xfId="0" applyNumberFormat="1" applyFont="1" applyFill="1" applyBorder="1" applyAlignment="1"/>
    <xf numFmtId="0" fontId="26" fillId="0" borderId="11" xfId="0" applyNumberFormat="1" applyFont="1" applyFill="1" applyBorder="1" applyAlignment="1">
      <alignment horizontal="center"/>
    </xf>
    <xf numFmtId="0" fontId="26" fillId="0" borderId="29" xfId="0" applyNumberFormat="1" applyFont="1" applyFill="1" applyBorder="1" applyAlignment="1">
      <alignment horizontal="center"/>
    </xf>
    <xf numFmtId="0" fontId="26" fillId="0" borderId="1" xfId="0" applyNumberFormat="1" applyFont="1" applyFill="1" applyBorder="1" applyAlignment="1">
      <alignment horizontal="centerContinuous"/>
    </xf>
    <xf numFmtId="0" fontId="26" fillId="0" borderId="0" xfId="0" applyNumberFormat="1" applyFont="1" applyFill="1" applyBorder="1" applyAlignment="1">
      <alignment horizontal="centerContinuous"/>
    </xf>
    <xf numFmtId="0" fontId="26" fillId="0" borderId="0" xfId="0" applyNumberFormat="1" applyFont="1" applyFill="1" applyBorder="1" applyAlignment="1">
      <alignment horizontal="center"/>
    </xf>
    <xf numFmtId="0" fontId="26" fillId="0" borderId="26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5" fillId="0" borderId="1" xfId="0" applyNumberFormat="1" applyFont="1" applyFill="1" applyBorder="1" applyAlignment="1"/>
    <xf numFmtId="0" fontId="25" fillId="0" borderId="0" xfId="0" applyNumberFormat="1" applyFont="1" applyFill="1" applyBorder="1" applyAlignment="1"/>
    <xf numFmtId="0" fontId="25" fillId="0" borderId="26" xfId="0" applyNumberFormat="1" applyFont="1" applyFill="1" applyBorder="1" applyAlignment="1"/>
    <xf numFmtId="0" fontId="25" fillId="0" borderId="28" xfId="0" applyNumberFormat="1" applyFont="1" applyFill="1" applyBorder="1" applyAlignment="1"/>
    <xf numFmtId="0" fontId="26" fillId="0" borderId="38" xfId="0" applyNumberFormat="1" applyFont="1" applyFill="1" applyBorder="1" applyAlignment="1">
      <alignment horizontal="centerContinuous"/>
    </xf>
    <xf numFmtId="164" fontId="26" fillId="0" borderId="38" xfId="0" applyNumberFormat="1" applyFont="1" applyFill="1" applyBorder="1" applyAlignment="1">
      <alignment horizontal="center"/>
    </xf>
    <xf numFmtId="41" fontId="26" fillId="0" borderId="38" xfId="0" applyNumberFormat="1" applyFont="1" applyFill="1" applyBorder="1" applyAlignment="1">
      <alignment horizontal="center"/>
    </xf>
    <xf numFmtId="41" fontId="26" fillId="0" borderId="38" xfId="0" applyNumberFormat="1" applyFont="1" applyFill="1" applyBorder="1" applyAlignment="1"/>
    <xf numFmtId="41" fontId="26" fillId="0" borderId="25" xfId="0" applyNumberFormat="1" applyFont="1" applyFill="1" applyBorder="1" applyAlignment="1">
      <alignment horizontal="center"/>
    </xf>
    <xf numFmtId="17" fontId="26" fillId="0" borderId="1" xfId="0" applyNumberFormat="1" applyFont="1" applyFill="1" applyBorder="1" applyAlignment="1"/>
    <xf numFmtId="3" fontId="26" fillId="0" borderId="0" xfId="0" applyNumberFormat="1" applyFont="1" applyFill="1" applyBorder="1" applyAlignment="1">
      <alignment horizontal="center"/>
    </xf>
    <xf numFmtId="41" fontId="26" fillId="0" borderId="0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41" fontId="26" fillId="0" borderId="0" xfId="0" applyNumberFormat="1" applyFont="1" applyFill="1" applyBorder="1" applyAlignment="1"/>
    <xf numFmtId="41" fontId="26" fillId="0" borderId="26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17" fontId="26" fillId="0" borderId="0" xfId="0" applyNumberFormat="1" applyFont="1" applyFill="1" applyBorder="1" applyAlignment="1"/>
    <xf numFmtId="14" fontId="26" fillId="0" borderId="0" xfId="0" applyNumberFormat="1" applyFont="1" applyFill="1" applyBorder="1" applyAlignment="1"/>
    <xf numFmtId="164" fontId="26" fillId="0" borderId="0" xfId="0" applyNumberFormat="1" applyFont="1" applyFill="1" applyBorder="1" applyAlignment="1"/>
    <xf numFmtId="41" fontId="27" fillId="0" borderId="32" xfId="0" applyNumberFormat="1" applyFont="1" applyFill="1" applyBorder="1" applyAlignment="1">
      <alignment horizontal="left" wrapText="1"/>
    </xf>
    <xf numFmtId="17" fontId="26" fillId="0" borderId="4" xfId="0" applyNumberFormat="1" applyFont="1" applyFill="1" applyBorder="1" applyAlignment="1"/>
    <xf numFmtId="17" fontId="26" fillId="0" borderId="11" xfId="0" applyNumberFormat="1" applyFont="1" applyFill="1" applyBorder="1" applyAlignment="1"/>
    <xf numFmtId="164" fontId="26" fillId="0" borderId="11" xfId="0" applyNumberFormat="1" applyFont="1" applyFill="1" applyBorder="1" applyAlignment="1"/>
    <xf numFmtId="41" fontId="26" fillId="0" borderId="11" xfId="0" applyNumberFormat="1" applyFont="1" applyFill="1" applyBorder="1" applyAlignment="1">
      <alignment horizontal="center"/>
    </xf>
    <xf numFmtId="164" fontId="26" fillId="0" borderId="11" xfId="0" applyNumberFormat="1" applyFont="1" applyFill="1" applyBorder="1" applyAlignment="1">
      <alignment horizontal="center"/>
    </xf>
    <xf numFmtId="41" fontId="26" fillId="0" borderId="11" xfId="0" applyNumberFormat="1" applyFont="1" applyFill="1" applyBorder="1" applyAlignment="1"/>
    <xf numFmtId="41" fontId="26" fillId="0" borderId="29" xfId="0" applyNumberFormat="1" applyFont="1" applyFill="1" applyBorder="1" applyAlignment="1">
      <alignment horizontal="center"/>
    </xf>
    <xf numFmtId="17" fontId="26" fillId="0" borderId="28" xfId="0" applyNumberFormat="1" applyFont="1" applyFill="1" applyBorder="1" applyAlignment="1"/>
    <xf numFmtId="0" fontId="25" fillId="0" borderId="9" xfId="0" applyNumberFormat="1" applyFont="1" applyFill="1" applyBorder="1" applyAlignment="1"/>
    <xf numFmtId="41" fontId="26" fillId="0" borderId="9" xfId="0" applyNumberFormat="1" applyFont="1" applyFill="1" applyBorder="1" applyAlignment="1">
      <alignment horizontal="center"/>
    </xf>
    <xf numFmtId="164" fontId="26" fillId="0" borderId="9" xfId="0" applyNumberFormat="1" applyFont="1" applyFill="1" applyBorder="1" applyAlignment="1">
      <alignment horizontal="center"/>
    </xf>
    <xf numFmtId="41" fontId="26" fillId="0" borderId="9" xfId="0" applyNumberFormat="1" applyFont="1" applyFill="1" applyBorder="1" applyAlignment="1"/>
    <xf numFmtId="0" fontId="25" fillId="0" borderId="0" xfId="0" applyNumberFormat="1" applyFont="1" applyFill="1" applyAlignment="1">
      <alignment horizontal="center"/>
    </xf>
    <xf numFmtId="0" fontId="2" fillId="0" borderId="9" xfId="0" applyNumberFormat="1" applyFont="1" applyFill="1" applyBorder="1" applyAlignment="1">
      <alignment horizontal="right"/>
    </xf>
    <xf numFmtId="0" fontId="2" fillId="0" borderId="9" xfId="0" applyNumberFormat="1" applyFont="1" applyFill="1" applyBorder="1" applyAlignment="1"/>
    <xf numFmtId="168" fontId="0" fillId="0" borderId="0" xfId="0" applyNumberFormat="1" applyFont="1" applyFill="1" applyAlignment="1"/>
    <xf numFmtId="164" fontId="0" fillId="0" borderId="9" xfId="0" applyNumberFormat="1" applyFont="1" applyFill="1" applyBorder="1" applyAlignment="1"/>
    <xf numFmtId="0" fontId="0" fillId="0" borderId="0" xfId="0" applyNumberFormat="1" applyFont="1" applyFill="1" applyAlignment="1">
      <alignment horizontal="right"/>
    </xf>
    <xf numFmtId="164" fontId="2" fillId="0" borderId="8" xfId="0" applyNumberFormat="1" applyFont="1" applyFill="1" applyBorder="1" applyAlignment="1"/>
    <xf numFmtId="43" fontId="26" fillId="0" borderId="0" xfId="0" applyNumberFormat="1" applyFont="1" applyFill="1" applyAlignment="1"/>
    <xf numFmtId="17" fontId="26" fillId="0" borderId="0" xfId="0" applyNumberFormat="1" applyFont="1" applyFill="1" applyAlignment="1"/>
    <xf numFmtId="43" fontId="26" fillId="0" borderId="8" xfId="0" applyNumberFormat="1" applyFont="1" applyFill="1" applyBorder="1" applyAlignment="1"/>
    <xf numFmtId="0" fontId="29" fillId="0" borderId="0" xfId="0" applyNumberFormat="1" applyFont="1" applyFill="1" applyAlignment="1"/>
    <xf numFmtId="10" fontId="26" fillId="0" borderId="9" xfId="0" applyNumberFormat="1" applyFont="1" applyFill="1" applyBorder="1" applyAlignment="1"/>
    <xf numFmtId="164" fontId="26" fillId="0" borderId="14" xfId="0" applyNumberFormat="1" applyFont="1" applyFill="1" applyBorder="1" applyAlignment="1"/>
    <xf numFmtId="0" fontId="0" fillId="0" borderId="0" xfId="0" applyNumberFormat="1" applyFont="1" applyFill="1" applyAlignment="1"/>
    <xf numFmtId="41" fontId="0" fillId="0" borderId="0" xfId="0" applyNumberFormat="1" applyFont="1" applyFill="1" applyAlignment="1"/>
    <xf numFmtId="0" fontId="0" fillId="0" borderId="9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/>
    <xf numFmtId="164" fontId="5" fillId="0" borderId="0" xfId="0" applyNumberFormat="1" applyFont="1" applyFill="1" applyBorder="1" applyAlignment="1"/>
    <xf numFmtId="164" fontId="5" fillId="0" borderId="0" xfId="0" applyNumberFormat="1" applyFont="1" applyFill="1" applyAlignment="1"/>
    <xf numFmtId="164" fontId="5" fillId="0" borderId="9" xfId="0" applyNumberFormat="1" applyFont="1" applyFill="1" applyBorder="1" applyAlignment="1"/>
    <xf numFmtId="164" fontId="30" fillId="0" borderId="9" xfId="0" applyNumberFormat="1" applyFont="1" applyFill="1" applyBorder="1" applyAlignment="1"/>
    <xf numFmtId="41" fontId="5" fillId="0" borderId="0" xfId="0" applyNumberFormat="1" applyFont="1" applyFill="1" applyAlignment="1">
      <alignment horizontal="left" wrapText="1"/>
    </xf>
    <xf numFmtId="41" fontId="30" fillId="0" borderId="0" xfId="0" applyNumberFormat="1" applyFont="1" applyFill="1" applyAlignment="1">
      <alignment horizontal="left" wrapText="1"/>
    </xf>
    <xf numFmtId="41" fontId="0" fillId="0" borderId="0" xfId="0" applyNumberFormat="1" applyFont="1" applyFill="1" applyBorder="1" applyAlignment="1"/>
    <xf numFmtId="41" fontId="0" fillId="0" borderId="9" xfId="0" applyNumberFormat="1" applyFont="1" applyFill="1" applyBorder="1" applyAlignment="1"/>
    <xf numFmtId="0" fontId="2" fillId="0" borderId="1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/>
    <xf numFmtId="0" fontId="31" fillId="0" borderId="5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6" fillId="0" borderId="12" xfId="0" applyNumberFormat="1" applyFont="1" applyFill="1" applyBorder="1" applyAlignment="1"/>
    <xf numFmtId="0" fontId="26" fillId="0" borderId="18" xfId="0" applyNumberFormat="1" applyFont="1" applyFill="1" applyBorder="1" applyAlignment="1"/>
    <xf numFmtId="0" fontId="27" fillId="0" borderId="0" xfId="0" applyNumberFormat="1" applyFont="1" applyFill="1" applyBorder="1" applyAlignment="1">
      <alignment horizontal="center"/>
    </xf>
    <xf numFmtId="0" fontId="27" fillId="0" borderId="17" xfId="0" applyNumberFormat="1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left"/>
    </xf>
    <xf numFmtId="4" fontId="0" fillId="0" borderId="0" xfId="0" applyNumberFormat="1" applyFont="1" applyFill="1" applyBorder="1" applyAlignment="1"/>
    <xf numFmtId="3" fontId="0" fillId="0" borderId="0" xfId="0" applyNumberFormat="1" applyFont="1" applyFill="1" applyBorder="1" applyAlignment="1"/>
    <xf numFmtId="3" fontId="0" fillId="0" borderId="17" xfId="0" applyNumberFormat="1" applyFont="1" applyFill="1" applyBorder="1" applyAlignment="1"/>
    <xf numFmtId="49" fontId="27" fillId="0" borderId="18" xfId="0" applyNumberFormat="1" applyFont="1" applyFill="1" applyBorder="1" applyAlignment="1"/>
    <xf numFmtId="37" fontId="0" fillId="0" borderId="17" xfId="0" applyNumberFormat="1" applyFont="1" applyFill="1" applyBorder="1" applyAlignment="1"/>
    <xf numFmtId="37" fontId="0" fillId="0" borderId="31" xfId="0" applyNumberFormat="1" applyFont="1" applyFill="1" applyBorder="1" applyAlignment="1"/>
    <xf numFmtId="10" fontId="0" fillId="0" borderId="0" xfId="0" applyNumberFormat="1" applyFont="1" applyFill="1" applyAlignment="1"/>
    <xf numFmtId="49" fontId="26" fillId="0" borderId="18" xfId="0" applyNumberFormat="1" applyFont="1" applyFill="1" applyBorder="1" applyAlignment="1"/>
    <xf numFmtId="0" fontId="0" fillId="0" borderId="0" xfId="0" applyNumberFormat="1" applyFont="1" applyFill="1" applyBorder="1" applyAlignment="1"/>
    <xf numFmtId="164" fontId="2" fillId="0" borderId="17" xfId="0" applyNumberFormat="1" applyFont="1" applyFill="1" applyBorder="1" applyAlignment="1"/>
    <xf numFmtId="164" fontId="27" fillId="0" borderId="30" xfId="0" applyNumberFormat="1" applyFont="1" applyFill="1" applyBorder="1" applyAlignment="1"/>
    <xf numFmtId="10" fontId="0" fillId="0" borderId="9" xfId="0" applyNumberFormat="1" applyFont="1" applyFill="1" applyBorder="1" applyAlignment="1"/>
    <xf numFmtId="10" fontId="0" fillId="0" borderId="31" xfId="0" applyNumberFormat="1" applyFont="1" applyFill="1" applyBorder="1" applyAlignment="1"/>
    <xf numFmtId="0" fontId="26" fillId="0" borderId="16" xfId="0" applyNumberFormat="1" applyFont="1" applyFill="1" applyBorder="1" applyAlignment="1"/>
    <xf numFmtId="0" fontId="0" fillId="0" borderId="3" xfId="0" applyNumberFormat="1" applyFont="1" applyFill="1" applyBorder="1" applyAlignment="1"/>
    <xf numFmtId="164" fontId="2" fillId="0" borderId="3" xfId="0" applyNumberFormat="1" applyFont="1" applyFill="1" applyBorder="1" applyAlignment="1"/>
    <xf numFmtId="164" fontId="2" fillId="0" borderId="15" xfId="0" applyNumberFormat="1" applyFont="1" applyFill="1" applyBorder="1" applyAlignment="1"/>
    <xf numFmtId="3" fontId="32" fillId="0" borderId="0" xfId="0" applyNumberFormat="1" applyFont="1" applyFill="1" applyAlignment="1"/>
    <xf numFmtId="0" fontId="33" fillId="0" borderId="0" xfId="0" applyNumberFormat="1" applyFont="1" applyFill="1" applyAlignment="1"/>
    <xf numFmtId="0" fontId="26" fillId="0" borderId="0" xfId="0" applyNumberFormat="1" applyFont="1" applyFill="1" applyAlignment="1">
      <alignment horizontal="centerContinuous"/>
    </xf>
    <xf numFmtId="0" fontId="26" fillId="0" borderId="0" xfId="0" applyNumberFormat="1" applyFont="1" applyFill="1" applyAlignment="1">
      <alignment horizontal="center"/>
    </xf>
    <xf numFmtId="0" fontId="26" fillId="0" borderId="11" xfId="0" applyNumberFormat="1" applyFont="1" applyFill="1" applyBorder="1" applyAlignment="1">
      <alignment horizontal="right"/>
    </xf>
    <xf numFmtId="0" fontId="26" fillId="0" borderId="0" xfId="0" applyNumberFormat="1" applyFont="1" applyFill="1" applyBorder="1" applyAlignment="1">
      <alignment horizontal="right"/>
    </xf>
    <xf numFmtId="0" fontId="26" fillId="0" borderId="9" xfId="0" applyNumberFormat="1" applyFont="1" applyFill="1" applyBorder="1" applyAlignment="1">
      <alignment horizontal="right"/>
    </xf>
    <xf numFmtId="17" fontId="26" fillId="0" borderId="0" xfId="0" applyNumberFormat="1" applyFont="1" applyFill="1" applyAlignment="1">
      <alignment horizontal="left"/>
    </xf>
    <xf numFmtId="164" fontId="26" fillId="0" borderId="0" xfId="0" applyNumberFormat="1" applyFont="1" applyFill="1" applyAlignment="1"/>
    <xf numFmtId="164" fontId="26" fillId="0" borderId="0" xfId="0" applyNumberFormat="1" applyFont="1" applyFill="1" applyBorder="1" applyAlignment="1">
      <alignment horizontal="right"/>
    </xf>
    <xf numFmtId="17" fontId="26" fillId="0" borderId="0" xfId="0" applyNumberFormat="1" applyFont="1" applyFill="1" applyBorder="1" applyAlignment="1">
      <alignment horizontal="center"/>
    </xf>
    <xf numFmtId="17" fontId="26" fillId="0" borderId="0" xfId="0" applyNumberFormat="1" applyFont="1" applyFill="1" applyAlignment="1">
      <alignment horizontal="center"/>
    </xf>
    <xf numFmtId="44" fontId="26" fillId="0" borderId="0" xfId="0" applyNumberFormat="1" applyFont="1" applyFill="1" applyAlignment="1"/>
    <xf numFmtId="164" fontId="26" fillId="0" borderId="7" xfId="0" applyNumberFormat="1" applyFont="1" applyFill="1" applyBorder="1" applyAlignment="1"/>
    <xf numFmtId="17" fontId="27" fillId="0" borderId="0" xfId="0" applyNumberFormat="1" applyFont="1" applyFill="1" applyAlignment="1">
      <alignment horizontal="center"/>
    </xf>
    <xf numFmtId="164" fontId="27" fillId="0" borderId="0" xfId="0" applyNumberFormat="1" applyFont="1" applyFill="1" applyAlignment="1"/>
    <xf numFmtId="164" fontId="27" fillId="0" borderId="9" xfId="0" applyNumberFormat="1" applyFont="1" applyFill="1" applyBorder="1" applyAlignment="1"/>
    <xf numFmtId="164" fontId="27" fillId="0" borderId="8" xfId="0" applyNumberFormat="1" applyFont="1" applyFill="1" applyBorder="1" applyAlignment="1"/>
    <xf numFmtId="14" fontId="0" fillId="0" borderId="0" xfId="0" applyNumberFormat="1" applyFont="1" applyFill="1" applyBorder="1" applyAlignment="1">
      <alignment horizontal="center"/>
    </xf>
    <xf numFmtId="41" fontId="0" fillId="0" borderId="38" xfId="0" applyNumberFormat="1" applyFont="1" applyFill="1" applyBorder="1"/>
    <xf numFmtId="9" fontId="0" fillId="0" borderId="38" xfId="0" applyNumberFormat="1" applyFont="1" applyFill="1" applyBorder="1"/>
    <xf numFmtId="0" fontId="0" fillId="0" borderId="0" xfId="0" applyFont="1" applyFill="1" applyAlignment="1">
      <alignment horizontal="center"/>
    </xf>
    <xf numFmtId="41" fontId="0" fillId="0" borderId="8" xfId="0" applyNumberFormat="1" applyFont="1" applyFill="1" applyBorder="1"/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center"/>
    </xf>
    <xf numFmtId="17" fontId="0" fillId="0" borderId="0" xfId="0" applyNumberFormat="1" applyFont="1" applyFill="1"/>
    <xf numFmtId="17" fontId="0" fillId="0" borderId="20" xfId="0" applyNumberFormat="1" applyFont="1" applyFill="1" applyBorder="1"/>
    <xf numFmtId="0" fontId="0" fillId="0" borderId="19" xfId="0" applyFont="1" applyFill="1" applyBorder="1" applyAlignment="1">
      <alignment horizontal="right"/>
    </xf>
    <xf numFmtId="0" fontId="0" fillId="0" borderId="18" xfId="0" applyFont="1" applyFill="1" applyBorder="1"/>
    <xf numFmtId="0" fontId="0" fillId="0" borderId="16" xfId="0" applyFont="1" applyFill="1" applyBorder="1"/>
    <xf numFmtId="0" fontId="0" fillId="0" borderId="3" xfId="0" applyFont="1" applyFill="1" applyBorder="1"/>
    <xf numFmtId="0" fontId="0" fillId="0" borderId="15" xfId="0" applyFont="1" applyFill="1" applyBorder="1"/>
    <xf numFmtId="164" fontId="25" fillId="0" borderId="21" xfId="0" applyNumberFormat="1" applyFont="1" applyFill="1" applyBorder="1" applyAlignment="1"/>
    <xf numFmtId="164" fontId="25" fillId="0" borderId="20" xfId="0" applyNumberFormat="1" applyFont="1" applyFill="1" applyBorder="1" applyAlignment="1"/>
    <xf numFmtId="3" fontId="0" fillId="0" borderId="18" xfId="0" applyNumberFormat="1" applyFont="1" applyFill="1" applyBorder="1" applyAlignment="1"/>
    <xf numFmtId="164" fontId="0" fillId="0" borderId="17" xfId="0" applyNumberFormat="1" applyFont="1" applyFill="1" applyBorder="1" applyAlignment="1"/>
    <xf numFmtId="164" fontId="0" fillId="0" borderId="31" xfId="0" applyNumberFormat="1" applyFont="1" applyFill="1" applyBorder="1"/>
    <xf numFmtId="3" fontId="2" fillId="0" borderId="18" xfId="0" applyNumberFormat="1" applyFont="1" applyFill="1" applyBorder="1" applyAlignment="1"/>
    <xf numFmtId="41" fontId="0" fillId="0" borderId="31" xfId="0" applyNumberFormat="1" applyFont="1" applyFill="1" applyBorder="1"/>
    <xf numFmtId="3" fontId="2" fillId="0" borderId="16" xfId="0" applyNumberFormat="1" applyFont="1" applyFill="1" applyBorder="1" applyAlignment="1"/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9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9" fontId="0" fillId="0" borderId="0" xfId="0" applyNumberFormat="1" applyFont="1" applyFill="1"/>
    <xf numFmtId="164" fontId="0" fillId="0" borderId="13" xfId="0" applyNumberFormat="1" applyFont="1" applyFill="1" applyBorder="1"/>
    <xf numFmtId="164" fontId="0" fillId="0" borderId="5" xfId="0" applyNumberFormat="1" applyFont="1" applyFill="1" applyBorder="1"/>
    <xf numFmtId="164" fontId="0" fillId="0" borderId="12" xfId="0" applyNumberFormat="1" applyFont="1" applyFill="1" applyBorder="1"/>
    <xf numFmtId="164" fontId="0" fillId="0" borderId="9" xfId="0" applyNumberFormat="1" applyFont="1" applyFill="1" applyBorder="1"/>
    <xf numFmtId="164" fontId="0" fillId="0" borderId="11" xfId="0" applyNumberFormat="1" applyFont="1" applyFill="1" applyBorder="1" applyAlignment="1">
      <alignment horizontal="left"/>
    </xf>
    <xf numFmtId="164" fontId="0" fillId="0" borderId="11" xfId="0" applyNumberFormat="1" applyFont="1" applyFill="1" applyBorder="1"/>
    <xf numFmtId="0" fontId="27" fillId="0" borderId="0" xfId="0" applyNumberFormat="1" applyFont="1" applyFill="1" applyAlignment="1">
      <alignment horizontal="centerContinuous"/>
    </xf>
    <xf numFmtId="0" fontId="27" fillId="0" borderId="7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/>
    <xf numFmtId="41" fontId="26" fillId="0" borderId="0" xfId="0" applyNumberFormat="1" applyFont="1" applyFill="1" applyAlignment="1"/>
    <xf numFmtId="0" fontId="26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right"/>
    </xf>
    <xf numFmtId="0" fontId="26" fillId="0" borderId="0" xfId="0" quotePrefix="1" applyNumberFormat="1" applyFont="1" applyFill="1" applyBorder="1" applyAlignment="1" applyProtection="1">
      <alignment horizontal="left"/>
    </xf>
    <xf numFmtId="42" fontId="26" fillId="0" borderId="22" xfId="0" applyNumberFormat="1" applyFont="1" applyFill="1" applyBorder="1" applyAlignment="1"/>
    <xf numFmtId="43" fontId="25" fillId="0" borderId="0" xfId="0" applyNumberFormat="1" applyFont="1" applyFill="1" applyAlignment="1"/>
    <xf numFmtId="41" fontId="26" fillId="0" borderId="6" xfId="0" applyNumberFormat="1" applyFont="1" applyFill="1" applyBorder="1" applyAlignment="1"/>
    <xf numFmtId="43" fontId="26" fillId="0" borderId="0" xfId="0" applyNumberFormat="1" applyFont="1" applyFill="1" applyBorder="1" applyAlignment="1" applyProtection="1">
      <alignment horizontal="left"/>
    </xf>
    <xf numFmtId="43" fontId="26" fillId="0" borderId="0" xfId="0" applyNumberFormat="1" applyFont="1" applyFill="1" applyBorder="1" applyAlignment="1"/>
    <xf numFmtId="0" fontId="26" fillId="0" borderId="0" xfId="0" applyNumberFormat="1" applyFont="1" applyFill="1" applyAlignment="1">
      <alignment horizontal="left" indent="1"/>
    </xf>
    <xf numFmtId="41" fontId="27" fillId="0" borderId="11" xfId="0" applyNumberFormat="1" applyFont="1" applyFill="1" applyBorder="1" applyAlignment="1"/>
    <xf numFmtId="41" fontId="27" fillId="0" borderId="0" xfId="0" applyNumberFormat="1" applyFont="1" applyFill="1" applyAlignment="1"/>
    <xf numFmtId="0" fontId="26" fillId="0" borderId="21" xfId="0" applyNumberFormat="1" applyFont="1" applyFill="1" applyBorder="1" applyAlignment="1"/>
    <xf numFmtId="41" fontId="26" fillId="0" borderId="20" xfId="0" applyNumberFormat="1" applyFont="1" applyFill="1" applyBorder="1" applyAlignment="1"/>
    <xf numFmtId="43" fontId="25" fillId="0" borderId="20" xfId="0" applyNumberFormat="1" applyFont="1" applyFill="1" applyBorder="1" applyAlignment="1"/>
    <xf numFmtId="42" fontId="26" fillId="0" borderId="20" xfId="0" applyNumberFormat="1" applyFont="1" applyFill="1" applyBorder="1" applyAlignment="1"/>
    <xf numFmtId="0" fontId="26" fillId="0" borderId="20" xfId="0" applyNumberFormat="1" applyFont="1" applyFill="1" applyBorder="1" applyAlignment="1"/>
    <xf numFmtId="42" fontId="26" fillId="0" borderId="19" xfId="0" applyNumberFormat="1" applyFont="1" applyFill="1" applyBorder="1" applyAlignment="1"/>
    <xf numFmtId="43" fontId="25" fillId="0" borderId="0" xfId="0" applyNumberFormat="1" applyFont="1" applyFill="1" applyBorder="1" applyAlignment="1"/>
    <xf numFmtId="42" fontId="26" fillId="0" borderId="0" xfId="0" applyNumberFormat="1" applyFont="1" applyFill="1" applyBorder="1" applyAlignment="1"/>
    <xf numFmtId="42" fontId="26" fillId="0" borderId="17" xfId="0" applyNumberFormat="1" applyFont="1" applyFill="1" applyBorder="1" applyAlignment="1"/>
    <xf numFmtId="165" fontId="27" fillId="0" borderId="8" xfId="0" applyNumberFormat="1" applyFont="1" applyFill="1" applyBorder="1" applyAlignment="1"/>
    <xf numFmtId="165" fontId="27" fillId="0" borderId="36" xfId="0" applyNumberFormat="1" applyFont="1" applyFill="1" applyBorder="1" applyAlignment="1"/>
    <xf numFmtId="41" fontId="26" fillId="0" borderId="3" xfId="0" applyNumberFormat="1" applyFont="1" applyFill="1" applyBorder="1" applyAlignment="1"/>
    <xf numFmtId="43" fontId="25" fillId="0" borderId="3" xfId="0" applyNumberFormat="1" applyFont="1" applyFill="1" applyBorder="1" applyAlignment="1"/>
    <xf numFmtId="0" fontId="26" fillId="0" borderId="3" xfId="0" applyNumberFormat="1" applyFont="1" applyFill="1" applyBorder="1" applyAlignment="1"/>
    <xf numFmtId="0" fontId="26" fillId="0" borderId="15" xfId="0" applyNumberFormat="1" applyFont="1" applyFill="1" applyBorder="1" applyAlignment="1"/>
    <xf numFmtId="37" fontId="27" fillId="0" borderId="0" xfId="0" applyNumberFormat="1" applyFont="1" applyFill="1" applyAlignment="1">
      <alignment horizontal="centerContinuous"/>
    </xf>
    <xf numFmtId="37" fontId="26" fillId="0" borderId="0" xfId="0" applyNumberFormat="1" applyFont="1" applyFill="1" applyAlignment="1">
      <alignment horizontal="centerContinuous"/>
    </xf>
    <xf numFmtId="37" fontId="26" fillId="0" borderId="0" xfId="0" applyNumberFormat="1" applyFont="1" applyFill="1" applyAlignment="1"/>
    <xf numFmtId="0" fontId="27" fillId="0" borderId="6" xfId="0" applyNumberFormat="1" applyFont="1" applyFill="1" applyBorder="1" applyAlignment="1">
      <alignment horizontal="centerContinuous" vertical="center"/>
    </xf>
    <xf numFmtId="0" fontId="26" fillId="0" borderId="6" xfId="0" applyNumberFormat="1" applyFont="1" applyFill="1" applyBorder="1" applyAlignment="1">
      <alignment horizontal="centerContinuous" vertical="center"/>
    </xf>
    <xf numFmtId="37" fontId="27" fillId="0" borderId="7" xfId="0" applyNumberFormat="1" applyFont="1" applyFill="1" applyBorder="1" applyAlignment="1">
      <alignment horizontal="center" vertical="center" wrapText="1"/>
    </xf>
    <xf numFmtId="43" fontId="27" fillId="0" borderId="7" xfId="0" applyNumberFormat="1" applyFont="1" applyFill="1" applyBorder="1" applyAlignment="1">
      <alignment horizontal="center" vertical="center" wrapText="1"/>
    </xf>
    <xf numFmtId="164" fontId="27" fillId="0" borderId="7" xfId="0" applyNumberFormat="1" applyFont="1" applyFill="1" applyBorder="1" applyAlignment="1">
      <alignment horizontal="center" vertical="center" wrapText="1"/>
    </xf>
    <xf numFmtId="37" fontId="27" fillId="0" borderId="0" xfId="0" applyNumberFormat="1" applyFont="1" applyFill="1" applyAlignment="1"/>
    <xf numFmtId="37" fontId="26" fillId="0" borderId="0" xfId="0" applyNumberFormat="1" applyFont="1" applyFill="1" applyBorder="1" applyAlignment="1"/>
    <xf numFmtId="37" fontId="26" fillId="0" borderId="0" xfId="0" applyNumberFormat="1" applyFont="1" applyFill="1" applyAlignment="1">
      <alignment horizontal="center"/>
    </xf>
    <xf numFmtId="37" fontId="26" fillId="0" borderId="0" xfId="0" applyNumberFormat="1" applyFont="1" applyFill="1" applyAlignment="1">
      <alignment horizontal="left"/>
    </xf>
    <xf numFmtId="0" fontId="26" fillId="0" borderId="0" xfId="0" applyNumberFormat="1" applyFont="1" applyFill="1" applyAlignment="1">
      <alignment horizontal="right"/>
    </xf>
    <xf numFmtId="37" fontId="27" fillId="0" borderId="0" xfId="0" applyNumberFormat="1" applyFont="1" applyFill="1" applyAlignment="1">
      <alignment horizontal="center"/>
    </xf>
    <xf numFmtId="37" fontId="27" fillId="0" borderId="0" xfId="0" applyNumberFormat="1" applyFont="1" applyFill="1" applyAlignment="1">
      <alignment horizontal="left"/>
    </xf>
    <xf numFmtId="1" fontId="26" fillId="0" borderId="0" xfId="0" applyNumberFormat="1" applyFont="1" applyFill="1" applyAlignment="1">
      <alignment horizontal="center"/>
    </xf>
    <xf numFmtId="0" fontId="26" fillId="0" borderId="0" xfId="0" applyNumberFormat="1" applyFont="1" applyFill="1" applyAlignment="1">
      <alignment horizontal="center" wrapText="1"/>
    </xf>
    <xf numFmtId="166" fontId="26" fillId="0" borderId="0" xfId="0" applyNumberFormat="1" applyFont="1" applyFill="1" applyBorder="1" applyAlignment="1">
      <alignment horizontal="left"/>
    </xf>
    <xf numFmtId="0" fontId="27" fillId="0" borderId="0" xfId="0" applyNumberFormat="1" applyFont="1" applyFill="1" applyAlignment="1">
      <alignment horizontal="center" wrapText="1"/>
    </xf>
    <xf numFmtId="166" fontId="26" fillId="0" borderId="0" xfId="0" applyNumberFormat="1" applyFont="1" applyFill="1" applyAlignment="1">
      <alignment horizontal="left" wrapText="1"/>
    </xf>
    <xf numFmtId="41" fontId="26" fillId="0" borderId="6" xfId="0" applyNumberFormat="1" applyFont="1" applyFill="1" applyBorder="1" applyAlignment="1">
      <alignment horizontal="left" wrapText="1"/>
    </xf>
    <xf numFmtId="42" fontId="26" fillId="0" borderId="9" xfId="0" applyNumberFormat="1" applyFont="1" applyFill="1" applyBorder="1" applyAlignment="1"/>
    <xf numFmtId="170" fontId="26" fillId="0" borderId="0" xfId="0" applyNumberFormat="1" applyFont="1" applyFill="1" applyAlignment="1">
      <alignment horizontal="center"/>
    </xf>
    <xf numFmtId="41" fontId="27" fillId="0" borderId="11" xfId="0" applyNumberFormat="1" applyFont="1" applyFill="1" applyBorder="1" applyAlignment="1">
      <alignment horizontal="center"/>
    </xf>
    <xf numFmtId="41" fontId="27" fillId="0" borderId="10" xfId="0" applyNumberFormat="1" applyFont="1" applyFill="1" applyBorder="1" applyAlignment="1">
      <alignment horizontal="center"/>
    </xf>
    <xf numFmtId="37" fontId="27" fillId="0" borderId="0" xfId="0" applyNumberFormat="1" applyFont="1" applyFill="1" applyBorder="1" applyAlignment="1"/>
    <xf numFmtId="166" fontId="26" fillId="0" borderId="0" xfId="0" applyNumberFormat="1" applyFont="1" applyFill="1" applyBorder="1" applyAlignment="1">
      <alignment horizontal="left" wrapText="1"/>
    </xf>
    <xf numFmtId="42" fontId="27" fillId="0" borderId="8" xfId="0" applyNumberFormat="1" applyFont="1" applyFill="1" applyBorder="1" applyAlignment="1">
      <alignment horizontal="left" wrapText="1"/>
    </xf>
    <xf numFmtId="42" fontId="27" fillId="0" borderId="22" xfId="0" applyNumberFormat="1" applyFont="1" applyFill="1" applyBorder="1" applyAlignment="1">
      <alignment horizontal="left" wrapText="1"/>
    </xf>
    <xf numFmtId="166" fontId="25" fillId="0" borderId="0" xfId="0" applyNumberFormat="1" applyFont="1" applyFill="1" applyAlignment="1"/>
    <xf numFmtId="0" fontId="3" fillId="0" borderId="0" xfId="0" applyNumberFormat="1" applyFont="1" applyFill="1" applyAlignment="1"/>
    <xf numFmtId="166" fontId="3" fillId="0" borderId="0" xfId="0" applyNumberFormat="1" applyFont="1" applyFill="1" applyAlignment="1"/>
    <xf numFmtId="0" fontId="34" fillId="0" borderId="0" xfId="0" applyNumberFormat="1" applyFont="1" applyFill="1" applyAlignment="1"/>
    <xf numFmtId="0" fontId="18" fillId="0" borderId="9" xfId="0" applyNumberFormat="1" applyFont="1" applyFill="1" applyBorder="1" applyAlignment="1">
      <alignment horizontal="left"/>
    </xf>
    <xf numFmtId="3" fontId="26" fillId="0" borderId="0" xfId="0" applyNumberFormat="1" applyFont="1" applyFill="1" applyAlignment="1"/>
    <xf numFmtId="165" fontId="26" fillId="0" borderId="0" xfId="0" applyNumberFormat="1" applyFont="1" applyFill="1" applyAlignment="1"/>
    <xf numFmtId="0" fontId="27" fillId="0" borderId="7" xfId="0" applyNumberFormat="1" applyFont="1" applyFill="1" applyBorder="1" applyAlignment="1">
      <alignment horizontal="center" vertical="center" wrapText="1"/>
    </xf>
    <xf numFmtId="0" fontId="27" fillId="0" borderId="27" xfId="0" applyNumberFormat="1" applyFont="1" applyFill="1" applyBorder="1" applyAlignment="1">
      <alignment horizontal="center" vertical="center" wrapText="1"/>
    </xf>
    <xf numFmtId="0" fontId="26" fillId="0" borderId="27" xfId="0" applyNumberFormat="1" applyFont="1" applyFill="1" applyBorder="1" applyAlignment="1"/>
    <xf numFmtId="0" fontId="26" fillId="0" borderId="27" xfId="0" quotePrefix="1" applyNumberFormat="1" applyFont="1" applyFill="1" applyBorder="1" applyAlignment="1">
      <alignment horizontal="center"/>
    </xf>
    <xf numFmtId="3" fontId="26" fillId="0" borderId="4" xfId="0" applyNumberFormat="1" applyFont="1" applyFill="1" applyBorder="1" applyAlignment="1"/>
    <xf numFmtId="164" fontId="26" fillId="0" borderId="27" xfId="0" applyNumberFormat="1" applyFont="1" applyFill="1" applyBorder="1" applyAlignment="1">
      <alignment horizontal="center"/>
    </xf>
    <xf numFmtId="164" fontId="26" fillId="0" borderId="29" xfId="0" applyNumberFormat="1" applyFont="1" applyFill="1" applyBorder="1" applyAlignment="1">
      <alignment horizontal="center"/>
    </xf>
    <xf numFmtId="164" fontId="26" fillId="0" borderId="27" xfId="0" applyNumberFormat="1" applyFont="1" applyFill="1" applyBorder="1" applyAlignment="1"/>
    <xf numFmtId="0" fontId="26" fillId="0" borderId="1" xfId="0" applyNumberFormat="1" applyFont="1" applyFill="1" applyBorder="1" applyAlignment="1"/>
    <xf numFmtId="0" fontId="26" fillId="0" borderId="23" xfId="0" applyNumberFormat="1" applyFont="1" applyFill="1" applyBorder="1" applyAlignment="1"/>
    <xf numFmtId="0" fontId="26" fillId="0" borderId="23" xfId="0" quotePrefix="1" applyNumberFormat="1" applyFont="1" applyFill="1" applyBorder="1" applyAlignment="1">
      <alignment horizontal="center"/>
    </xf>
    <xf numFmtId="3" fontId="26" fillId="0" borderId="1" xfId="0" applyNumberFormat="1" applyFont="1" applyFill="1" applyBorder="1" applyAlignment="1"/>
    <xf numFmtId="164" fontId="26" fillId="0" borderId="23" xfId="0" applyNumberFormat="1" applyFont="1" applyFill="1" applyBorder="1" applyAlignment="1">
      <alignment horizontal="center"/>
    </xf>
    <xf numFmtId="164" fontId="26" fillId="0" borderId="26" xfId="0" applyNumberFormat="1" applyFont="1" applyFill="1" applyBorder="1" applyAlignment="1">
      <alignment horizontal="center"/>
    </xf>
    <xf numFmtId="164" fontId="26" fillId="0" borderId="23" xfId="0" applyNumberFormat="1" applyFont="1" applyFill="1" applyBorder="1" applyAlignment="1"/>
    <xf numFmtId="10" fontId="26" fillId="0" borderId="23" xfId="0" applyNumberFormat="1" applyFont="1" applyFill="1" applyBorder="1" applyAlignment="1"/>
    <xf numFmtId="164" fontId="26" fillId="0" borderId="26" xfId="0" applyNumberFormat="1" applyFont="1" applyFill="1" applyBorder="1" applyAlignment="1"/>
    <xf numFmtId="0" fontId="25" fillId="0" borderId="24" xfId="0" applyNumberFormat="1" applyFont="1" applyFill="1" applyBorder="1" applyAlignment="1"/>
    <xf numFmtId="10" fontId="26" fillId="0" borderId="24" xfId="0" applyNumberFormat="1" applyFont="1" applyFill="1" applyBorder="1" applyAlignment="1"/>
    <xf numFmtId="0" fontId="26" fillId="0" borderId="24" xfId="0" quotePrefix="1" applyNumberFormat="1" applyFont="1" applyFill="1" applyBorder="1" applyAlignment="1">
      <alignment horizontal="center"/>
    </xf>
    <xf numFmtId="0" fontId="26" fillId="0" borderId="28" xfId="0" applyNumberFormat="1" applyFont="1" applyFill="1" applyBorder="1" applyAlignment="1"/>
    <xf numFmtId="164" fontId="26" fillId="0" borderId="24" xfId="0" applyNumberFormat="1" applyFont="1" applyFill="1" applyBorder="1" applyAlignment="1">
      <alignment horizontal="center"/>
    </xf>
    <xf numFmtId="164" fontId="26" fillId="0" borderId="24" xfId="0" applyNumberFormat="1" applyFont="1" applyFill="1" applyBorder="1" applyAlignment="1"/>
    <xf numFmtId="0" fontId="25" fillId="0" borderId="23" xfId="0" applyNumberFormat="1" applyFont="1" applyFill="1" applyBorder="1" applyAlignment="1"/>
    <xf numFmtId="10" fontId="26" fillId="0" borderId="26" xfId="0" applyNumberFormat="1" applyFont="1" applyFill="1" applyBorder="1" applyAlignment="1"/>
    <xf numFmtId="3" fontId="26" fillId="0" borderId="23" xfId="0" applyNumberFormat="1" applyFont="1" applyFill="1" applyBorder="1" applyAlignment="1"/>
    <xf numFmtId="3" fontId="26" fillId="0" borderId="24" xfId="0" applyNumberFormat="1" applyFont="1" applyFill="1" applyBorder="1" applyAlignment="1"/>
    <xf numFmtId="164" fontId="26" fillId="0" borderId="25" xfId="0" applyNumberFormat="1" applyFont="1" applyFill="1" applyBorder="1" applyAlignment="1"/>
    <xf numFmtId="0" fontId="26" fillId="0" borderId="7" xfId="0" applyNumberFormat="1" applyFont="1" applyFill="1" applyBorder="1" applyAlignment="1"/>
    <xf numFmtId="0" fontId="26" fillId="0" borderId="6" xfId="0" applyNumberFormat="1" applyFont="1" applyFill="1" applyBorder="1" applyAlignment="1">
      <alignment horizontal="center"/>
    </xf>
    <xf numFmtId="42" fontId="0" fillId="0" borderId="0" xfId="0" applyNumberFormat="1" applyFont="1" applyFill="1"/>
    <xf numFmtId="44" fontId="0" fillId="0" borderId="0" xfId="0" applyNumberFormat="1" applyFont="1" applyFill="1"/>
    <xf numFmtId="0" fontId="26" fillId="0" borderId="9" xfId="0" applyNumberFormat="1" applyFont="1" applyFill="1" applyBorder="1" applyAlignment="1">
      <alignment horizontal="center"/>
    </xf>
    <xf numFmtId="0" fontId="35" fillId="0" borderId="0" xfId="0" applyNumberFormat="1" applyFont="1" applyFill="1" applyAlignment="1"/>
    <xf numFmtId="0" fontId="26" fillId="0" borderId="0" xfId="0" applyNumberFormat="1" applyFont="1" applyFill="1" applyAlignment="1">
      <alignment horizontal="left" indent="2"/>
    </xf>
    <xf numFmtId="164" fontId="26" fillId="0" borderId="6" xfId="0" applyNumberFormat="1" applyFont="1" applyFill="1" applyBorder="1" applyAlignment="1"/>
    <xf numFmtId="0" fontId="26" fillId="0" borderId="0" xfId="0" applyNumberFormat="1" applyFont="1" applyFill="1" applyBorder="1" applyAlignment="1">
      <alignment horizontal="left" indent="1"/>
    </xf>
    <xf numFmtId="10" fontId="26" fillId="0" borderId="0" xfId="0" applyNumberFormat="1" applyFont="1" applyFill="1" applyAlignment="1"/>
    <xf numFmtId="0" fontId="26" fillId="0" borderId="0" xfId="0" quotePrefix="1" applyNumberFormat="1" applyFont="1" applyFill="1" applyAlignment="1">
      <alignment horizontal="left"/>
    </xf>
    <xf numFmtId="165" fontId="26" fillId="0" borderId="10" xfId="0" applyNumberFormat="1" applyFont="1" applyFill="1" applyBorder="1" applyAlignment="1"/>
    <xf numFmtId="168" fontId="27" fillId="0" borderId="28" xfId="0" applyNumberFormat="1" applyFont="1" applyFill="1" applyBorder="1" applyAlignment="1">
      <alignment horizontal="center"/>
    </xf>
    <xf numFmtId="165" fontId="0" fillId="0" borderId="15" xfId="0" applyNumberFormat="1" applyFont="1" applyFill="1" applyBorder="1"/>
    <xf numFmtId="0" fontId="26" fillId="0" borderId="27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24" xfId="0" applyFont="1" applyFill="1" applyBorder="1" applyAlignment="1">
      <alignment horizontal="center"/>
    </xf>
    <xf numFmtId="17" fontId="0" fillId="0" borderId="0" xfId="0" applyNumberFormat="1" applyFont="1" applyFill="1" applyAlignment="1">
      <alignment horizontal="center"/>
    </xf>
    <xf numFmtId="1" fontId="0" fillId="0" borderId="0" xfId="0" applyNumberFormat="1" applyFont="1" applyFill="1"/>
    <xf numFmtId="168" fontId="27" fillId="0" borderId="41" xfId="0" applyNumberFormat="1" applyFont="1" applyFill="1" applyBorder="1" applyAlignment="1">
      <alignment horizontal="center"/>
    </xf>
    <xf numFmtId="41" fontId="26" fillId="0" borderId="42" xfId="0" applyNumberFormat="1" applyFont="1" applyFill="1" applyBorder="1" applyAlignment="1"/>
    <xf numFmtId="168" fontId="27" fillId="0" borderId="4" xfId="0" applyNumberFormat="1" applyFont="1" applyFill="1" applyBorder="1" applyAlignment="1">
      <alignment horizontal="center"/>
    </xf>
    <xf numFmtId="41" fontId="27" fillId="0" borderId="10" xfId="0" applyNumberFormat="1" applyFont="1" applyFill="1" applyBorder="1" applyAlignment="1"/>
    <xf numFmtId="41" fontId="26" fillId="0" borderId="10" xfId="0" applyNumberFormat="1" applyFont="1" applyFill="1" applyBorder="1" applyAlignment="1"/>
    <xf numFmtId="41" fontId="26" fillId="0" borderId="29" xfId="0" applyNumberFormat="1" applyFont="1" applyFill="1" applyBorder="1" applyAlignment="1"/>
    <xf numFmtId="41" fontId="27" fillId="0" borderId="38" xfId="0" applyNumberFormat="1" applyFont="1" applyFill="1" applyBorder="1" applyAlignment="1"/>
    <xf numFmtId="0" fontId="2" fillId="0" borderId="0" xfId="0" applyFont="1" applyFill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37" fillId="0" borderId="0" xfId="0" applyFont="1" applyFill="1" applyAlignment="1"/>
    <xf numFmtId="0" fontId="38" fillId="0" borderId="0" xfId="0" applyFont="1" applyFill="1" applyAlignment="1"/>
    <xf numFmtId="164" fontId="38" fillId="0" borderId="38" xfId="0" quotePrefix="1" applyNumberFormat="1" applyFont="1" applyFill="1" applyBorder="1" applyAlignment="1">
      <alignment horizontal="left"/>
    </xf>
    <xf numFmtId="164" fontId="0" fillId="0" borderId="8" xfId="0" applyNumberFormat="1" applyFont="1" applyFill="1" applyBorder="1"/>
    <xf numFmtId="165" fontId="38" fillId="0" borderId="8" xfId="0" quotePrefix="1" applyNumberFormat="1" applyFont="1" applyFill="1" applyBorder="1" applyAlignment="1">
      <alignment horizontal="left"/>
    </xf>
    <xf numFmtId="1" fontId="38" fillId="0" borderId="0" xfId="0" quotePrefix="1" applyNumberFormat="1" applyFont="1" applyFill="1" applyAlignment="1">
      <alignment horizontal="left"/>
    </xf>
    <xf numFmtId="41" fontId="0" fillId="0" borderId="6" xfId="0" applyNumberFormat="1" applyFont="1" applyFill="1" applyBorder="1"/>
    <xf numFmtId="0" fontId="38" fillId="0" borderId="0" xfId="0" applyFont="1" applyFill="1" applyBorder="1" applyAlignment="1">
      <alignment horizontal="left"/>
    </xf>
    <xf numFmtId="0" fontId="38" fillId="0" borderId="0" xfId="0" applyNumberFormat="1" applyFont="1" applyFill="1" applyAlignment="1"/>
    <xf numFmtId="0" fontId="38" fillId="0" borderId="0" xfId="0" applyNumberFormat="1" applyFont="1" applyFill="1" applyAlignment="1">
      <alignment horizontal="left"/>
    </xf>
    <xf numFmtId="41" fontId="39" fillId="0" borderId="0" xfId="0" applyNumberFormat="1" applyFont="1" applyFill="1"/>
    <xf numFmtId="165" fontId="39" fillId="0" borderId="10" xfId="0" applyNumberFormat="1" applyFont="1" applyFill="1" applyBorder="1"/>
    <xf numFmtId="0" fontId="21" fillId="0" borderId="21" xfId="0" applyFont="1" applyFill="1" applyBorder="1"/>
    <xf numFmtId="0" fontId="6" fillId="0" borderId="20" xfId="0" applyFont="1" applyFill="1" applyBorder="1"/>
    <xf numFmtId="0" fontId="3" fillId="0" borderId="20" xfId="0" applyFont="1" applyFill="1" applyBorder="1"/>
    <xf numFmtId="0" fontId="3" fillId="0" borderId="19" xfId="0" applyFont="1" applyFill="1" applyBorder="1"/>
    <xf numFmtId="0" fontId="3" fillId="0" borderId="0" xfId="0" applyNumberFormat="1" applyFont="1" applyFill="1" applyBorder="1" applyAlignment="1">
      <alignment horizontal="left"/>
    </xf>
    <xf numFmtId="10" fontId="36" fillId="0" borderId="0" xfId="0" applyNumberFormat="1" applyFont="1" applyFill="1" applyBorder="1" applyAlignment="1"/>
    <xf numFmtId="43" fontId="3" fillId="0" borderId="0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>
      <alignment horizontal="center"/>
    </xf>
    <xf numFmtId="0" fontId="19" fillId="0" borderId="18" xfId="0" applyFont="1" applyFill="1" applyBorder="1"/>
    <xf numFmtId="0" fontId="6" fillId="0" borderId="0" xfId="0" applyFont="1" applyFill="1" applyBorder="1"/>
    <xf numFmtId="0" fontId="3" fillId="0" borderId="17" xfId="0" applyFont="1" applyFill="1" applyBorder="1"/>
    <xf numFmtId="10" fontId="27" fillId="0" borderId="0" xfId="0" applyNumberFormat="1" applyFont="1" applyFill="1" applyBorder="1" applyAlignment="1"/>
    <xf numFmtId="164" fontId="3" fillId="0" borderId="0" xfId="2" applyNumberFormat="1" applyFont="1" applyFill="1" applyBorder="1" applyAlignment="1">
      <alignment horizontal="left"/>
    </xf>
    <xf numFmtId="0" fontId="40" fillId="0" borderId="9" xfId="0" applyNumberFormat="1" applyFont="1" applyFill="1" applyBorder="1" applyAlignment="1">
      <alignment horizontal="center"/>
    </xf>
    <xf numFmtId="164" fontId="19" fillId="0" borderId="9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6" xfId="0" applyNumberFormat="1" applyFont="1" applyFill="1" applyBorder="1"/>
    <xf numFmtId="41" fontId="3" fillId="0" borderId="6" xfId="0" applyNumberFormat="1" applyFont="1" applyFill="1" applyBorder="1"/>
    <xf numFmtId="165" fontId="6" fillId="0" borderId="43" xfId="0" applyNumberFormat="1" applyFont="1" applyFill="1" applyBorder="1"/>
    <xf numFmtId="0" fontId="26" fillId="0" borderId="0" xfId="0" applyNumberFormat="1" applyFont="1" applyFill="1" applyBorder="1" applyAlignment="1">
      <alignment horizontal="left"/>
    </xf>
    <xf numFmtId="165" fontId="36" fillId="0" borderId="0" xfId="0" applyNumberFormat="1" applyFont="1" applyFill="1" applyBorder="1" applyAlignment="1"/>
    <xf numFmtId="169" fontId="36" fillId="0" borderId="0" xfId="0" applyNumberFormat="1" applyFont="1" applyFill="1" applyBorder="1" applyAlignment="1"/>
    <xf numFmtId="169" fontId="26" fillId="0" borderId="0" xfId="0" applyNumberFormat="1" applyFont="1" applyFill="1" applyBorder="1" applyAlignment="1">
      <alignment horizontal="center"/>
    </xf>
    <xf numFmtId="165" fontId="26" fillId="0" borderId="0" xfId="0" applyNumberFormat="1" applyFont="1" applyFill="1" applyBorder="1" applyAlignment="1"/>
    <xf numFmtId="0" fontId="6" fillId="0" borderId="18" xfId="0" applyFont="1" applyFill="1" applyBorder="1"/>
    <xf numFmtId="164" fontId="36" fillId="0" borderId="0" xfId="0" applyNumberFormat="1" applyFont="1" applyFill="1" applyBorder="1" applyAlignment="1"/>
    <xf numFmtId="0" fontId="21" fillId="0" borderId="18" xfId="0" applyFont="1" applyFill="1" applyBorder="1"/>
    <xf numFmtId="0" fontId="21" fillId="0" borderId="0" xfId="0" applyFont="1" applyFill="1" applyBorder="1" applyAlignment="1">
      <alignment horizontal="center"/>
    </xf>
    <xf numFmtId="164" fontId="3" fillId="0" borderId="17" xfId="0" applyNumberFormat="1" applyFont="1" applyFill="1" applyBorder="1"/>
    <xf numFmtId="170" fontId="26" fillId="0" borderId="18" xfId="0" applyNumberFormat="1" applyFont="1" applyFill="1" applyBorder="1" applyAlignment="1">
      <alignment horizontal="left"/>
    </xf>
    <xf numFmtId="164" fontId="3" fillId="0" borderId="0" xfId="0" applyNumberFormat="1" applyFont="1" applyFill="1" applyBorder="1"/>
    <xf numFmtId="169" fontId="26" fillId="0" borderId="0" xfId="0" applyNumberFormat="1" applyFont="1" applyFill="1" applyBorder="1" applyAlignment="1"/>
    <xf numFmtId="164" fontId="3" fillId="0" borderId="11" xfId="0" applyNumberFormat="1" applyFont="1" applyFill="1" applyBorder="1"/>
    <xf numFmtId="5" fontId="3" fillId="0" borderId="6" xfId="0" applyNumberFormat="1" applyFont="1" applyFill="1" applyBorder="1"/>
    <xf numFmtId="0" fontId="26" fillId="0" borderId="0" xfId="0" applyNumberFormat="1" applyFont="1" applyFill="1" applyBorder="1" applyAlignment="1">
      <alignment vertical="top"/>
    </xf>
    <xf numFmtId="0" fontId="26" fillId="0" borderId="0" xfId="0" quotePrefix="1" applyNumberFormat="1" applyFont="1" applyFill="1" applyBorder="1" applyAlignment="1">
      <alignment horizontal="left"/>
    </xf>
    <xf numFmtId="0" fontId="26" fillId="0" borderId="0" xfId="0" applyNumberFormat="1" applyFont="1" applyFill="1" applyBorder="1" applyAlignment="1">
      <alignment horizontal="left" vertical="center" indent="1"/>
    </xf>
    <xf numFmtId="165" fontId="36" fillId="0" borderId="33" xfId="0" applyNumberFormat="1" applyFont="1" applyFill="1" applyBorder="1" applyAlignment="1">
      <alignment vertical="center"/>
    </xf>
    <xf numFmtId="169" fontId="36" fillId="0" borderId="34" xfId="0" applyNumberFormat="1" applyFont="1" applyFill="1" applyBorder="1" applyAlignment="1">
      <alignment vertical="center"/>
    </xf>
    <xf numFmtId="169" fontId="27" fillId="0" borderId="11" xfId="0" applyNumberFormat="1" applyFont="1" applyFill="1" applyBorder="1" applyAlignment="1">
      <alignment vertical="center"/>
    </xf>
    <xf numFmtId="165" fontId="36" fillId="0" borderId="11" xfId="0" applyNumberFormat="1" applyFont="1" applyFill="1" applyBorder="1" applyAlignment="1">
      <alignment vertical="center"/>
    </xf>
    <xf numFmtId="165" fontId="20" fillId="0" borderId="0" xfId="0" applyNumberFormat="1" applyFont="1" applyFill="1"/>
    <xf numFmtId="171" fontId="26" fillId="0" borderId="9" xfId="0" applyNumberFormat="1" applyFont="1" applyFill="1" applyBorder="1" applyAlignment="1"/>
    <xf numFmtId="167" fontId="26" fillId="0" borderId="0" xfId="0" applyNumberFormat="1" applyFont="1" applyFill="1" applyBorder="1" applyAlignment="1"/>
    <xf numFmtId="172" fontId="26" fillId="0" borderId="0" xfId="0" applyNumberFormat="1" applyFont="1" applyFill="1" applyBorder="1" applyAlignment="1"/>
    <xf numFmtId="165" fontId="36" fillId="0" borderId="11" xfId="0" applyNumberFormat="1" applyFont="1" applyFill="1" applyBorder="1" applyAlignment="1"/>
    <xf numFmtId="173" fontId="27" fillId="0" borderId="0" xfId="0" applyNumberFormat="1" applyFont="1" applyFill="1" applyBorder="1" applyAlignment="1"/>
    <xf numFmtId="44" fontId="26" fillId="0" borderId="0" xfId="0" applyNumberFormat="1" applyFont="1" applyFill="1" applyBorder="1" applyAlignment="1"/>
    <xf numFmtId="43" fontId="26" fillId="0" borderId="0" xfId="0" applyNumberFormat="1" applyFont="1" applyFill="1" applyBorder="1" applyAlignment="1">
      <alignment horizontal="center"/>
    </xf>
    <xf numFmtId="167" fontId="35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Border="1" applyAlignment="1">
      <alignment horizontal="right"/>
    </xf>
    <xf numFmtId="167" fontId="41" fillId="0" borderId="0" xfId="0" applyNumberFormat="1" applyFont="1" applyFill="1" applyBorder="1" applyAlignment="1">
      <alignment horizontal="left"/>
    </xf>
    <xf numFmtId="0" fontId="35" fillId="0" borderId="0" xfId="0" applyNumberFormat="1" applyFont="1" applyFill="1" applyBorder="1" applyAlignment="1">
      <alignment horizontal="center"/>
    </xf>
    <xf numFmtId="0" fontId="41" fillId="0" borderId="0" xfId="0" applyNumberFormat="1" applyFont="1" applyFill="1" applyBorder="1" applyAlignment="1">
      <alignment horizontal="right"/>
    </xf>
    <xf numFmtId="0" fontId="41" fillId="0" borderId="0" xfId="0" applyNumberFormat="1" applyFont="1" applyFill="1" applyBorder="1" applyAlignment="1"/>
    <xf numFmtId="167" fontId="35" fillId="0" borderId="0" xfId="0" applyNumberFormat="1" applyFont="1" applyFill="1" applyBorder="1" applyAlignment="1">
      <alignment horizontal="centerContinuous"/>
    </xf>
    <xf numFmtId="164" fontId="6" fillId="0" borderId="0" xfId="0" applyNumberFormat="1" applyFont="1" applyFill="1" applyBorder="1"/>
    <xf numFmtId="0" fontId="6" fillId="0" borderId="0" xfId="0" applyNumberFormat="1" applyFont="1" applyFill="1" applyBorder="1" applyAlignment="1"/>
    <xf numFmtId="169" fontId="36" fillId="0" borderId="9" xfId="0" applyNumberFormat="1" applyFont="1" applyFill="1" applyBorder="1" applyAlignment="1"/>
    <xf numFmtId="166" fontId="42" fillId="0" borderId="0" xfId="0" applyNumberFormat="1" applyFont="1" applyFill="1" applyBorder="1" applyAlignment="1">
      <alignment horizontal="left"/>
    </xf>
    <xf numFmtId="5" fontId="6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center"/>
    </xf>
    <xf numFmtId="166" fontId="28" fillId="0" borderId="21" xfId="0" applyNumberFormat="1" applyFont="1" applyFill="1" applyBorder="1" applyAlignment="1">
      <alignment horizontal="left"/>
    </xf>
    <xf numFmtId="0" fontId="28" fillId="0" borderId="20" xfId="0" applyNumberFormat="1" applyFont="1" applyFill="1" applyBorder="1" applyAlignment="1">
      <alignment horizontal="center"/>
    </xf>
    <xf numFmtId="0" fontId="28" fillId="0" borderId="19" xfId="0" applyNumberFormat="1" applyFont="1" applyFill="1" applyBorder="1" applyAlignment="1">
      <alignment horizontal="center"/>
    </xf>
    <xf numFmtId="166" fontId="20" fillId="0" borderId="35" xfId="0" applyNumberFormat="1" applyFont="1" applyFill="1" applyBorder="1" applyAlignment="1">
      <alignment horizontal="left"/>
    </xf>
    <xf numFmtId="0" fontId="20" fillId="0" borderId="10" xfId="0" applyNumberFormat="1" applyFont="1" applyFill="1" applyBorder="1" applyAlignment="1">
      <alignment horizontal="center"/>
    </xf>
    <xf numFmtId="41" fontId="20" fillId="0" borderId="33" xfId="0" applyNumberFormat="1" applyFont="1" applyFill="1" applyBorder="1" applyAlignment="1"/>
    <xf numFmtId="0" fontId="6" fillId="0" borderId="11" xfId="0" applyFont="1" applyFill="1" applyBorder="1"/>
    <xf numFmtId="166" fontId="20" fillId="0" borderId="18" xfId="0" applyNumberFormat="1" applyFont="1" applyFill="1" applyBorder="1" applyAlignment="1">
      <alignment horizontal="left"/>
    </xf>
    <xf numFmtId="41" fontId="20" fillId="0" borderId="17" xfId="0" applyNumberFormat="1" applyFont="1" applyFill="1" applyBorder="1" applyAlignment="1"/>
    <xf numFmtId="5" fontId="6" fillId="0" borderId="11" xfId="0" applyNumberFormat="1" applyFont="1" applyFill="1" applyBorder="1"/>
    <xf numFmtId="0" fontId="6" fillId="0" borderId="18" xfId="0" applyFont="1" applyFill="1" applyBorder="1" applyAlignment="1">
      <alignment horizontal="right"/>
    </xf>
    <xf numFmtId="165" fontId="6" fillId="0" borderId="8" xfId="0" applyNumberFormat="1" applyFont="1" applyFill="1" applyBorder="1"/>
    <xf numFmtId="0" fontId="20" fillId="0" borderId="0" xfId="0" applyNumberFormat="1" applyFont="1" applyFill="1" applyBorder="1" applyAlignment="1"/>
    <xf numFmtId="41" fontId="20" fillId="0" borderId="36" xfId="0" applyNumberFormat="1" applyFont="1" applyFill="1" applyBorder="1" applyAlignment="1"/>
    <xf numFmtId="0" fontId="20" fillId="0" borderId="16" xfId="0" applyNumberFormat="1" applyFont="1" applyFill="1" applyBorder="1" applyAlignment="1"/>
    <xf numFmtId="0" fontId="20" fillId="0" borderId="3" xfId="0" applyNumberFormat="1" applyFont="1" applyFill="1" applyBorder="1" applyAlignment="1">
      <alignment horizontal="right"/>
    </xf>
    <xf numFmtId="41" fontId="20" fillId="0" borderId="15" xfId="0" applyNumberFormat="1" applyFont="1" applyFill="1" applyBorder="1" applyAlignment="1"/>
    <xf numFmtId="164" fontId="6" fillId="0" borderId="11" xfId="0" applyNumberFormat="1" applyFont="1" applyFill="1" applyBorder="1"/>
    <xf numFmtId="2" fontId="0" fillId="0" borderId="0" xfId="0" applyNumberFormat="1" applyFont="1" applyFill="1"/>
    <xf numFmtId="42" fontId="6" fillId="0" borderId="0" xfId="0" applyNumberFormat="1" applyFont="1" applyFill="1" applyBorder="1"/>
    <xf numFmtId="164" fontId="6" fillId="0" borderId="6" xfId="0" applyNumberFormat="1" applyFont="1" applyFill="1" applyBorder="1"/>
    <xf numFmtId="41" fontId="6" fillId="0" borderId="0" xfId="0" applyNumberFormat="1" applyFont="1" applyFill="1" applyBorder="1"/>
    <xf numFmtId="0" fontId="6" fillId="0" borderId="16" xfId="0" applyFont="1" applyFill="1" applyBorder="1"/>
    <xf numFmtId="0" fontId="6" fillId="0" borderId="3" xfId="0" applyFont="1" applyFill="1" applyBorder="1"/>
    <xf numFmtId="0" fontId="3" fillId="0" borderId="3" xfId="0" applyFont="1" applyFill="1" applyBorder="1"/>
    <xf numFmtId="0" fontId="3" fillId="0" borderId="15" xfId="0" applyFont="1" applyFill="1" applyBorder="1"/>
    <xf numFmtId="37" fontId="27" fillId="0" borderId="0" xfId="0" applyNumberFormat="1" applyFont="1" applyFill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41" fontId="0" fillId="0" borderId="13" xfId="0" applyNumberFormat="1" applyFont="1" applyFill="1" applyBorder="1" applyAlignment="1">
      <alignment horizontal="center"/>
    </xf>
    <xf numFmtId="41" fontId="0" fillId="0" borderId="5" xfId="0" applyNumberFormat="1" applyFont="1" applyFill="1" applyBorder="1" applyAlignment="1">
      <alignment horizontal="center"/>
    </xf>
    <xf numFmtId="41" fontId="0" fillId="0" borderId="12" xfId="0" applyNumberFormat="1" applyFont="1" applyFill="1" applyBorder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CC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220980</xdr:colOff>
      <xdr:row>5</xdr:row>
      <xdr:rowOff>137160</xdr:rowOff>
    </xdr:from>
    <xdr:ext cx="6751789" cy="218902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9780" y="946785"/>
          <a:ext cx="6751789" cy="21890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1"/>
  <sheetViews>
    <sheetView tabSelected="1" zoomScale="82" zoomScaleNormal="82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R17" sqref="R17"/>
    </sheetView>
  </sheetViews>
  <sheetFormatPr defaultColWidth="9.109375" defaultRowHeight="14.4" x14ac:dyDescent="0.3"/>
  <cols>
    <col min="1" max="1" width="7.44140625" style="37" customWidth="1"/>
    <col min="2" max="2" width="43" style="37" customWidth="1"/>
    <col min="3" max="3" width="17.88671875" style="37" customWidth="1"/>
    <col min="4" max="4" width="13.33203125" style="37" bestFit="1" customWidth="1"/>
    <col min="5" max="5" width="5" style="37" bestFit="1" customWidth="1"/>
    <col min="6" max="6" width="15.6640625" style="37" bestFit="1" customWidth="1"/>
    <col min="7" max="7" width="15" style="37" bestFit="1" customWidth="1"/>
    <col min="8" max="8" width="5.5546875" style="37" customWidth="1"/>
    <col min="9" max="9" width="5.44140625" style="37" customWidth="1"/>
    <col min="10" max="10" width="32.33203125" style="68" customWidth="1"/>
    <col min="11" max="11" width="16.88671875" style="68" bestFit="1" customWidth="1"/>
    <col min="12" max="12" width="15.33203125" style="37" bestFit="1" customWidth="1"/>
    <col min="13" max="13" width="13.109375" style="37" bestFit="1" customWidth="1"/>
    <col min="14" max="14" width="5" style="37" customWidth="1"/>
    <col min="15" max="15" width="16.88671875" style="36" bestFit="1" customWidth="1"/>
    <col min="16" max="16" width="18.5546875" style="36" bestFit="1" customWidth="1"/>
    <col min="17" max="17" width="13.88671875" style="36" bestFit="1" customWidth="1"/>
    <col min="18" max="18" width="9.109375" style="36"/>
    <col min="19" max="19" width="16.5546875" style="36" bestFit="1" customWidth="1"/>
    <col min="20" max="20" width="15" style="36" bestFit="1" customWidth="1"/>
    <col min="21" max="21" width="9.109375" style="36"/>
    <col min="22" max="22" width="43.88671875" style="36" bestFit="1" customWidth="1"/>
    <col min="23" max="23" width="16.109375" style="36" bestFit="1" customWidth="1"/>
    <col min="24" max="24" width="13.88671875" style="36" bestFit="1" customWidth="1"/>
    <col min="25" max="25" width="5.5546875" style="36" bestFit="1" customWidth="1"/>
    <col min="26" max="26" width="16.5546875" style="36" bestFit="1" customWidth="1"/>
    <col min="27" max="27" width="12.6640625" style="36" bestFit="1" customWidth="1"/>
    <col min="28" max="16384" width="9.109375" style="37"/>
  </cols>
  <sheetData>
    <row r="1" spans="1:14" ht="21" x14ac:dyDescent="0.4">
      <c r="A1" s="62" t="s">
        <v>2</v>
      </c>
      <c r="E1" s="63" t="s">
        <v>533</v>
      </c>
      <c r="F1" s="64"/>
      <c r="G1" s="65"/>
    </row>
    <row r="2" spans="1:14" ht="21" x14ac:dyDescent="0.4">
      <c r="A2" s="62" t="s">
        <v>0</v>
      </c>
    </row>
    <row r="3" spans="1:14" ht="13.95" customHeight="1" x14ac:dyDescent="0.35">
      <c r="A3" s="66"/>
    </row>
    <row r="4" spans="1:14" x14ac:dyDescent="0.3">
      <c r="A4" s="39"/>
    </row>
    <row r="5" spans="1:14" x14ac:dyDescent="0.3">
      <c r="A5" s="39" t="s">
        <v>1</v>
      </c>
      <c r="C5" s="25" t="s">
        <v>460</v>
      </c>
    </row>
    <row r="6" spans="1:14" x14ac:dyDescent="0.3">
      <c r="A6" s="1">
        <v>3</v>
      </c>
      <c r="B6" s="37" t="s">
        <v>3</v>
      </c>
      <c r="C6" s="26">
        <v>150405447.91445902</v>
      </c>
    </row>
    <row r="7" spans="1:14" x14ac:dyDescent="0.3">
      <c r="A7" s="1">
        <v>4</v>
      </c>
      <c r="B7" s="37" t="s">
        <v>4</v>
      </c>
      <c r="C7" s="27">
        <f>+'Trans 12-2018'!G66</f>
        <v>79202112.316321075</v>
      </c>
    </row>
    <row r="8" spans="1:14" ht="15" thickBot="1" x14ac:dyDescent="0.35">
      <c r="A8" s="1">
        <v>5</v>
      </c>
      <c r="B8" s="37" t="s">
        <v>5</v>
      </c>
      <c r="C8" s="353">
        <f>+'Rate Base Summarized'!G14</f>
        <v>1697741036.1213143</v>
      </c>
    </row>
    <row r="9" spans="1:14" x14ac:dyDescent="0.3">
      <c r="A9" s="1">
        <f>+A8+1</f>
        <v>6</v>
      </c>
      <c r="C9" s="354">
        <f>SUM(C6:C8)</f>
        <v>1927348596.3520944</v>
      </c>
      <c r="J9" s="355" t="s">
        <v>459</v>
      </c>
      <c r="K9" s="356"/>
      <c r="L9" s="357"/>
      <c r="M9" s="358"/>
    </row>
    <row r="10" spans="1:14" x14ac:dyDescent="0.3">
      <c r="A10" s="1">
        <f>+A9+1</f>
        <v>7</v>
      </c>
      <c r="B10" s="359" t="s">
        <v>537</v>
      </c>
      <c r="C10" s="360">
        <v>6.8500000000000005E-2</v>
      </c>
      <c r="D10" s="361"/>
      <c r="E10" s="361"/>
      <c r="F10" s="362" t="s">
        <v>377</v>
      </c>
      <c r="G10" s="362" t="s">
        <v>380</v>
      </c>
      <c r="J10" s="363"/>
      <c r="K10" s="364"/>
      <c r="L10" s="23"/>
      <c r="M10" s="365"/>
    </row>
    <row r="11" spans="1:14" x14ac:dyDescent="0.3">
      <c r="A11" s="1">
        <f>+A10+1</f>
        <v>8</v>
      </c>
      <c r="B11" s="359"/>
      <c r="C11" s="366"/>
      <c r="D11" s="145" t="s">
        <v>316</v>
      </c>
      <c r="E11" s="145"/>
      <c r="F11" s="362" t="s">
        <v>378</v>
      </c>
      <c r="G11" s="362" t="s">
        <v>378</v>
      </c>
      <c r="J11" s="363" t="s">
        <v>390</v>
      </c>
      <c r="K11" s="23"/>
      <c r="L11" s="23"/>
      <c r="M11" s="365"/>
    </row>
    <row r="12" spans="1:14" x14ac:dyDescent="0.3">
      <c r="A12" s="1">
        <f>+A11+1</f>
        <v>9</v>
      </c>
      <c r="B12" s="367"/>
      <c r="C12" s="366"/>
      <c r="D12" s="368" t="s">
        <v>317</v>
      </c>
      <c r="E12" s="368"/>
      <c r="F12" s="369" t="s">
        <v>379</v>
      </c>
      <c r="G12" s="369" t="s">
        <v>381</v>
      </c>
      <c r="J12" s="363" t="s">
        <v>395</v>
      </c>
      <c r="K12" s="370" t="s">
        <v>393</v>
      </c>
      <c r="L12" s="370" t="s">
        <v>392</v>
      </c>
      <c r="M12" s="371" t="s">
        <v>422</v>
      </c>
    </row>
    <row r="13" spans="1:14" x14ac:dyDescent="0.3">
      <c r="A13" s="1" t="s">
        <v>7</v>
      </c>
      <c r="B13" s="359"/>
      <c r="C13" s="145" t="s">
        <v>318</v>
      </c>
      <c r="D13" s="372" t="s">
        <v>319</v>
      </c>
      <c r="E13" s="372" t="s">
        <v>320</v>
      </c>
      <c r="F13" s="372" t="s">
        <v>375</v>
      </c>
      <c r="G13" s="372" t="s">
        <v>376</v>
      </c>
      <c r="J13" s="373" t="s">
        <v>394</v>
      </c>
      <c r="K13" s="374">
        <f>SUM(C15,C18:C20,C25:C27,C30)</f>
        <v>766958772.07547069</v>
      </c>
      <c r="L13" s="375">
        <v>766958772.07547057</v>
      </c>
      <c r="M13" s="376">
        <f>+K13-L13</f>
        <v>0</v>
      </c>
    </row>
    <row r="14" spans="1:14" x14ac:dyDescent="0.3">
      <c r="A14" s="168">
        <v>10</v>
      </c>
      <c r="B14" s="377" t="s">
        <v>321</v>
      </c>
      <c r="C14" s="378">
        <f>(C6*C$10/0.79)</f>
        <v>13041485.040684106</v>
      </c>
      <c r="D14" s="379">
        <f t="shared" ref="D14:D35" si="0">C14/$C$39</f>
        <v>0.63506256119921201</v>
      </c>
      <c r="E14" s="380" t="s">
        <v>349</v>
      </c>
      <c r="F14" s="378">
        <f>+C14</f>
        <v>13041485.040684106</v>
      </c>
      <c r="G14" s="381"/>
      <c r="J14" s="382"/>
      <c r="K14" s="364"/>
      <c r="L14" s="23"/>
      <c r="M14" s="365"/>
    </row>
    <row r="15" spans="1:14" x14ac:dyDescent="0.3">
      <c r="A15" s="168" t="s">
        <v>8</v>
      </c>
      <c r="B15" s="377" t="s">
        <v>322</v>
      </c>
      <c r="C15" s="383">
        <v>3913502.79561463</v>
      </c>
      <c r="D15" s="379">
        <f t="shared" si="0"/>
        <v>0.19057025337913</v>
      </c>
      <c r="E15" s="380" t="s">
        <v>350</v>
      </c>
      <c r="F15" s="100"/>
      <c r="G15" s="383">
        <f>+C15</f>
        <v>3913502.79561463</v>
      </c>
      <c r="J15" s="384" t="s">
        <v>423</v>
      </c>
      <c r="K15" s="385" t="s">
        <v>417</v>
      </c>
      <c r="L15" s="370" t="s">
        <v>392</v>
      </c>
      <c r="M15" s="386"/>
      <c r="N15" s="27"/>
    </row>
    <row r="16" spans="1:14" x14ac:dyDescent="0.3">
      <c r="A16" s="168">
        <v>11</v>
      </c>
      <c r="B16" s="96" t="s">
        <v>323</v>
      </c>
      <c r="C16" s="383">
        <f>(C7*$C$10/0.79)</f>
        <v>6867524.9286936624</v>
      </c>
      <c r="D16" s="379">
        <f t="shared" si="0"/>
        <v>0.33441804799914537</v>
      </c>
      <c r="E16" s="380" t="s">
        <v>349</v>
      </c>
      <c r="F16" s="383">
        <f>+C16</f>
        <v>6867524.9286936624</v>
      </c>
      <c r="G16" s="100"/>
      <c r="J16" s="387" t="s">
        <v>413</v>
      </c>
      <c r="K16" s="388">
        <v>499261331.18363261</v>
      </c>
      <c r="L16" s="23"/>
      <c r="M16" s="365"/>
      <c r="N16" s="67"/>
    </row>
    <row r="17" spans="1:13" x14ac:dyDescent="0.3">
      <c r="A17" s="168">
        <v>12</v>
      </c>
      <c r="B17" s="96" t="s">
        <v>324</v>
      </c>
      <c r="C17" s="383">
        <f>(C8*$C$10/0.79)</f>
        <v>147209191.10672155</v>
      </c>
      <c r="D17" s="379">
        <f t="shared" si="0"/>
        <v>7.168435622527455</v>
      </c>
      <c r="E17" s="380" t="s">
        <v>349</v>
      </c>
      <c r="F17" s="383">
        <f>+C17</f>
        <v>147209191.10672155</v>
      </c>
      <c r="G17" s="100"/>
      <c r="J17" s="387" t="s">
        <v>414</v>
      </c>
      <c r="K17" s="388">
        <v>164015324.98970243</v>
      </c>
      <c r="L17" s="23"/>
      <c r="M17" s="365"/>
    </row>
    <row r="18" spans="1:13" x14ac:dyDescent="0.3">
      <c r="A18" s="168">
        <v>13</v>
      </c>
      <c r="B18" s="96" t="s">
        <v>540</v>
      </c>
      <c r="C18" s="383">
        <v>37089392.406405531</v>
      </c>
      <c r="D18" s="379">
        <f t="shared" si="0"/>
        <v>1.8060891425673826</v>
      </c>
      <c r="E18" s="380" t="s">
        <v>350</v>
      </c>
      <c r="F18" s="100"/>
      <c r="G18" s="383">
        <f>+C18</f>
        <v>37089392.406405531</v>
      </c>
      <c r="J18" s="387" t="s">
        <v>415</v>
      </c>
      <c r="K18" s="388">
        <v>112486392.77130413</v>
      </c>
      <c r="L18" s="23"/>
      <c r="M18" s="365"/>
    </row>
    <row r="19" spans="1:13" x14ac:dyDescent="0.3">
      <c r="A19" s="168">
        <v>14</v>
      </c>
      <c r="B19" s="96" t="s">
        <v>541</v>
      </c>
      <c r="C19" s="383">
        <v>487088103.68130493</v>
      </c>
      <c r="D19" s="379">
        <f t="shared" si="0"/>
        <v>23.719033353067477</v>
      </c>
      <c r="E19" s="380" t="s">
        <v>350</v>
      </c>
      <c r="F19" s="100"/>
      <c r="G19" s="383">
        <f>+C19</f>
        <v>487088103.68130493</v>
      </c>
      <c r="J19" s="387" t="s">
        <v>416</v>
      </c>
      <c r="K19" s="388">
        <v>-9043639.2224400174</v>
      </c>
      <c r="L19" s="23"/>
      <c r="M19" s="365"/>
    </row>
    <row r="20" spans="1:13" x14ac:dyDescent="0.3">
      <c r="A20" s="168">
        <v>15</v>
      </c>
      <c r="B20" s="96" t="s">
        <v>325</v>
      </c>
      <c r="C20" s="100">
        <v>8072158.7332714284</v>
      </c>
      <c r="D20" s="389">
        <f t="shared" si="0"/>
        <v>0.39307837900100318</v>
      </c>
      <c r="E20" s="380" t="s">
        <v>349</v>
      </c>
      <c r="F20" s="100">
        <f>+C20</f>
        <v>8072158.7332714284</v>
      </c>
      <c r="G20" s="100"/>
      <c r="J20" s="387" t="s">
        <v>425</v>
      </c>
      <c r="K20" s="388">
        <v>-27552250.181711692</v>
      </c>
      <c r="L20" s="23"/>
      <c r="M20" s="365"/>
    </row>
    <row r="21" spans="1:13" x14ac:dyDescent="0.3">
      <c r="A21" s="168" t="s">
        <v>9</v>
      </c>
      <c r="B21" s="322" t="s">
        <v>326</v>
      </c>
      <c r="C21" s="100">
        <f>'For Prod Adj Expense'!H14</f>
        <v>8840460.579817621</v>
      </c>
      <c r="D21" s="389">
        <f t="shared" si="0"/>
        <v>0.43049127614573779</v>
      </c>
      <c r="E21" s="380" t="s">
        <v>349</v>
      </c>
      <c r="F21" s="100">
        <f>+C21</f>
        <v>8840460.579817621</v>
      </c>
      <c r="G21" s="100"/>
      <c r="J21" s="387" t="s">
        <v>331</v>
      </c>
      <c r="K21" s="388">
        <v>108562632.47835678</v>
      </c>
      <c r="L21" s="23"/>
      <c r="M21" s="365"/>
    </row>
    <row r="22" spans="1:13" x14ac:dyDescent="0.3">
      <c r="A22" s="168" t="s">
        <v>10</v>
      </c>
      <c r="B22" s="322" t="s">
        <v>34</v>
      </c>
      <c r="C22" s="100">
        <f>'For Prod Adj Expense'!H19</f>
        <v>3895439.2738404199</v>
      </c>
      <c r="D22" s="389">
        <f t="shared" si="0"/>
        <v>0.18969063987143348</v>
      </c>
      <c r="E22" s="380" t="s">
        <v>349</v>
      </c>
      <c r="F22" s="100">
        <f>+C22</f>
        <v>3895439.2738404199</v>
      </c>
      <c r="G22" s="100"/>
      <c r="J22" s="387" t="s">
        <v>334</v>
      </c>
      <c r="K22" s="388">
        <v>876514.03</v>
      </c>
      <c r="L22" s="23"/>
      <c r="M22" s="365"/>
    </row>
    <row r="23" spans="1:13" x14ac:dyDescent="0.3">
      <c r="A23" s="168" t="s">
        <v>11</v>
      </c>
      <c r="B23" s="322" t="s">
        <v>327</v>
      </c>
      <c r="C23" s="383">
        <v>766379.13641918893</v>
      </c>
      <c r="D23" s="379">
        <f t="shared" si="0"/>
        <v>3.7319269677165548E-2</v>
      </c>
      <c r="E23" s="380" t="s">
        <v>350</v>
      </c>
      <c r="F23" s="100"/>
      <c r="G23" s="383">
        <f>+C23</f>
        <v>766379.13641918893</v>
      </c>
      <c r="J23" s="387" t="s">
        <v>426</v>
      </c>
      <c r="K23" s="388">
        <v>-8666881.7085096519</v>
      </c>
      <c r="L23" s="23"/>
      <c r="M23" s="371" t="s">
        <v>422</v>
      </c>
    </row>
    <row r="24" spans="1:13" x14ac:dyDescent="0.3">
      <c r="A24" s="168" t="s">
        <v>12</v>
      </c>
      <c r="B24" s="322" t="s">
        <v>328</v>
      </c>
      <c r="C24" s="100">
        <f>'For Prod Adj Expense'!H18</f>
        <v>1989467.6013443223</v>
      </c>
      <c r="D24" s="389">
        <f t="shared" si="0"/>
        <v>9.6878260902893559E-2</v>
      </c>
      <c r="E24" s="380" t="s">
        <v>349</v>
      </c>
      <c r="F24" s="100">
        <f>+C24</f>
        <v>1989467.6013443223</v>
      </c>
      <c r="G24" s="100"/>
      <c r="J24" s="387" t="s">
        <v>418</v>
      </c>
      <c r="K24" s="390">
        <f>SUM(K16:K23)</f>
        <v>839939424.34033465</v>
      </c>
      <c r="L24" s="390">
        <v>839939424.34033453</v>
      </c>
      <c r="M24" s="376">
        <f>+K24-L24</f>
        <v>0</v>
      </c>
    </row>
    <row r="25" spans="1:13" x14ac:dyDescent="0.3">
      <c r="A25" s="168" t="s">
        <v>13</v>
      </c>
      <c r="B25" s="322" t="s">
        <v>329</v>
      </c>
      <c r="C25" s="100">
        <v>426928.32671306725</v>
      </c>
      <c r="D25" s="389">
        <f t="shared" si="0"/>
        <v>2.0789518660266949E-2</v>
      </c>
      <c r="E25" s="380" t="s">
        <v>350</v>
      </c>
      <c r="F25" s="100"/>
      <c r="G25" s="100">
        <f>+C25</f>
        <v>426928.32671306725</v>
      </c>
      <c r="J25" s="387" t="s">
        <v>424</v>
      </c>
      <c r="K25" s="388">
        <f>-K20</f>
        <v>27552250.181711692</v>
      </c>
      <c r="L25" s="23"/>
      <c r="M25" s="365"/>
    </row>
    <row r="26" spans="1:13" x14ac:dyDescent="0.3">
      <c r="A26" s="168">
        <v>16</v>
      </c>
      <c r="B26" s="96" t="s">
        <v>542</v>
      </c>
      <c r="C26" s="383">
        <v>126925932.5832969</v>
      </c>
      <c r="D26" s="379">
        <f t="shared" si="0"/>
        <v>6.1807307662807984</v>
      </c>
      <c r="E26" s="380" t="s">
        <v>350</v>
      </c>
      <c r="F26" s="100"/>
      <c r="G26" s="383">
        <f>+C26</f>
        <v>126925932.5832969</v>
      </c>
      <c r="J26" s="387" t="s">
        <v>419</v>
      </c>
      <c r="K26" s="388">
        <f>-K21</f>
        <v>-108562632.47835678</v>
      </c>
      <c r="L26" s="388"/>
      <c r="M26" s="365"/>
    </row>
    <row r="27" spans="1:13" x14ac:dyDescent="0.3">
      <c r="A27" s="168">
        <v>17</v>
      </c>
      <c r="B27" s="96" t="s">
        <v>543</v>
      </c>
      <c r="C27" s="383">
        <v>112486392.77130413</v>
      </c>
      <c r="D27" s="379">
        <f t="shared" si="0"/>
        <v>5.4775891296546453</v>
      </c>
      <c r="E27" s="380" t="s">
        <v>350</v>
      </c>
      <c r="F27" s="100"/>
      <c r="G27" s="383">
        <f>+C27</f>
        <v>112486392.77130413</v>
      </c>
      <c r="J27" s="387" t="s">
        <v>420</v>
      </c>
      <c r="K27" s="388">
        <f>-K22</f>
        <v>-876514.03</v>
      </c>
      <c r="L27" s="388"/>
      <c r="M27" s="365"/>
    </row>
    <row r="28" spans="1:13" x14ac:dyDescent="0.3">
      <c r="A28" s="168">
        <v>18</v>
      </c>
      <c r="B28" s="96" t="s">
        <v>330</v>
      </c>
      <c r="C28" s="100">
        <v>-8666881.7085096519</v>
      </c>
      <c r="D28" s="389">
        <f t="shared" si="0"/>
        <v>-0.42203875388780288</v>
      </c>
      <c r="E28" s="380" t="s">
        <v>349</v>
      </c>
      <c r="F28" s="100">
        <f>+C28</f>
        <v>-8666881.7085096519</v>
      </c>
      <c r="G28" s="100"/>
      <c r="J28" s="387" t="s">
        <v>427</v>
      </c>
      <c r="K28" s="388">
        <f>-K23</f>
        <v>8666881.7085096519</v>
      </c>
      <c r="L28" s="23"/>
      <c r="M28" s="365"/>
    </row>
    <row r="29" spans="1:13" x14ac:dyDescent="0.3">
      <c r="A29" s="168">
        <v>19</v>
      </c>
      <c r="B29" s="96" t="s">
        <v>331</v>
      </c>
      <c r="C29" s="383">
        <v>109218292.16812748</v>
      </c>
      <c r="D29" s="379">
        <f t="shared" si="0"/>
        <v>5.3184471045834592</v>
      </c>
      <c r="E29" s="380" t="s">
        <v>349</v>
      </c>
      <c r="F29" s="383">
        <f>+C29</f>
        <v>109218292.16812748</v>
      </c>
      <c r="G29" s="100"/>
      <c r="J29" s="387" t="s">
        <v>421</v>
      </c>
      <c r="K29" s="388">
        <v>239362.3532714289</v>
      </c>
      <c r="L29" s="388"/>
      <c r="M29" s="371" t="s">
        <v>422</v>
      </c>
    </row>
    <row r="30" spans="1:13" x14ac:dyDescent="0.3">
      <c r="A30" s="168">
        <v>20</v>
      </c>
      <c r="B30" s="96" t="s">
        <v>332</v>
      </c>
      <c r="C30" s="383">
        <v>-9043639.2224400043</v>
      </c>
      <c r="D30" s="379">
        <f t="shared" si="0"/>
        <v>-0.44038517617033052</v>
      </c>
      <c r="E30" s="380" t="s">
        <v>350</v>
      </c>
      <c r="F30" s="100"/>
      <c r="G30" s="383">
        <f>+C30</f>
        <v>-9043639.2224400043</v>
      </c>
      <c r="J30" s="382"/>
      <c r="K30" s="374">
        <f>SUM(K24:K29)</f>
        <v>766958772.07547069</v>
      </c>
      <c r="L30" s="391">
        <f>+L13</f>
        <v>766958772.07547057</v>
      </c>
      <c r="M30" s="376">
        <f>+K30-L30</f>
        <v>0</v>
      </c>
    </row>
    <row r="31" spans="1:13" x14ac:dyDescent="0.3">
      <c r="A31" s="168">
        <v>21</v>
      </c>
      <c r="B31" s="392" t="s">
        <v>333</v>
      </c>
      <c r="C31" s="383">
        <v>-27552250.181711692</v>
      </c>
      <c r="D31" s="379">
        <f t="shared" si="0"/>
        <v>-1.3416725558948643</v>
      </c>
      <c r="E31" s="380" t="s">
        <v>350</v>
      </c>
      <c r="F31" s="100"/>
      <c r="G31" s="383">
        <f>+C31</f>
        <v>-27552250.181711692</v>
      </c>
      <c r="J31" s="382"/>
      <c r="K31" s="364"/>
      <c r="L31" s="23"/>
      <c r="M31" s="365"/>
    </row>
    <row r="32" spans="1:13" x14ac:dyDescent="0.3">
      <c r="A32" s="168">
        <v>22</v>
      </c>
      <c r="B32" s="96" t="s">
        <v>334</v>
      </c>
      <c r="C32" s="100">
        <v>876514.03</v>
      </c>
      <c r="D32" s="389">
        <f t="shared" si="0"/>
        <v>4.2682351210951028E-2</v>
      </c>
      <c r="E32" s="380" t="s">
        <v>349</v>
      </c>
      <c r="F32" s="100">
        <f>+C32</f>
        <v>876514.03</v>
      </c>
      <c r="G32" s="100"/>
      <c r="J32" s="363" t="s">
        <v>438</v>
      </c>
      <c r="K32" s="364"/>
      <c r="L32" s="388"/>
      <c r="M32" s="365"/>
    </row>
    <row r="33" spans="1:13" x14ac:dyDescent="0.3">
      <c r="A33" s="168">
        <v>23</v>
      </c>
      <c r="B33" s="393" t="s">
        <v>335</v>
      </c>
      <c r="C33" s="383">
        <f>'For Prod Adj Expense'!C43</f>
        <v>175236922.54322088</v>
      </c>
      <c r="D33" s="379">
        <f t="shared" si="0"/>
        <v>8.5332620096405929</v>
      </c>
      <c r="E33" s="380" t="s">
        <v>349</v>
      </c>
      <c r="F33" s="383">
        <f>+C33</f>
        <v>175236922.54322088</v>
      </c>
      <c r="G33" s="100"/>
      <c r="J33" s="387" t="s">
        <v>456</v>
      </c>
      <c r="K33" s="388">
        <f>+K21</f>
        <v>108562632.47835678</v>
      </c>
      <c r="L33" s="388"/>
      <c r="M33" s="365"/>
    </row>
    <row r="34" spans="1:13" x14ac:dyDescent="0.3">
      <c r="A34" s="168">
        <v>24</v>
      </c>
      <c r="B34" s="393" t="s">
        <v>336</v>
      </c>
      <c r="C34" s="100">
        <f>+'Trans 12-2018'!I66</f>
        <v>3531950.8300239993</v>
      </c>
      <c r="D34" s="389">
        <f t="shared" si="0"/>
        <v>0.17199036253520592</v>
      </c>
      <c r="E34" s="380" t="s">
        <v>349</v>
      </c>
      <c r="F34" s="100">
        <f>+C34</f>
        <v>3531950.8300239993</v>
      </c>
      <c r="G34" s="100"/>
      <c r="J34" s="387" t="s">
        <v>439</v>
      </c>
      <c r="K34" s="388">
        <v>655659.68977071228</v>
      </c>
      <c r="L34" s="388"/>
      <c r="M34" s="371" t="s">
        <v>422</v>
      </c>
    </row>
    <row r="35" spans="1:13" x14ac:dyDescent="0.3">
      <c r="A35" s="168">
        <v>25</v>
      </c>
      <c r="B35" s="393" t="s">
        <v>544</v>
      </c>
      <c r="C35" s="100">
        <f>D56+'Unprotected DFIT Lead'!G13</f>
        <v>5068352.99318753</v>
      </c>
      <c r="D35" s="389">
        <f t="shared" si="0"/>
        <v>0.24680634320970884</v>
      </c>
      <c r="E35" s="380" t="s">
        <v>349</v>
      </c>
      <c r="F35" s="100">
        <f>+C35</f>
        <v>5068352.99318753</v>
      </c>
      <c r="G35" s="100"/>
      <c r="J35" s="387"/>
      <c r="K35" s="374">
        <f>SUM(K33:K34)</f>
        <v>109218292.16812749</v>
      </c>
      <c r="L35" s="374">
        <v>109218292.16812748</v>
      </c>
      <c r="M35" s="376">
        <f>+K35-L35</f>
        <v>0</v>
      </c>
    </row>
    <row r="36" spans="1:13" ht="15" thickBot="1" x14ac:dyDescent="0.35">
      <c r="A36" s="168">
        <v>27</v>
      </c>
      <c r="B36" s="394" t="s">
        <v>337</v>
      </c>
      <c r="C36" s="395">
        <f>SUM(C14:C35)</f>
        <v>1207281620.41733</v>
      </c>
      <c r="D36" s="396">
        <f>SUM(D14:D35)</f>
        <v>58.789267906160653</v>
      </c>
      <c r="E36" s="397"/>
      <c r="F36" s="398">
        <f>SUM(F14:F35)</f>
        <v>475180878.12042332</v>
      </c>
      <c r="G36" s="398">
        <f>SUM(G14:G35)</f>
        <v>732100742.29690671</v>
      </c>
      <c r="H36" s="399">
        <f>SUM(F36:G36)-C36</f>
        <v>0</v>
      </c>
      <c r="I36" s="399"/>
      <c r="J36" s="387"/>
      <c r="K36" s="364"/>
      <c r="L36" s="388"/>
      <c r="M36" s="365"/>
    </row>
    <row r="37" spans="1:13" x14ac:dyDescent="0.3">
      <c r="A37" s="168">
        <v>28</v>
      </c>
      <c r="B37" s="96" t="s">
        <v>338</v>
      </c>
      <c r="C37" s="400">
        <v>0.95111500000000004</v>
      </c>
      <c r="D37" s="36"/>
      <c r="E37" s="401"/>
      <c r="F37" s="402">
        <f>+C37</f>
        <v>0.95111500000000004</v>
      </c>
      <c r="G37" s="402">
        <f>+C37</f>
        <v>0.95111500000000004</v>
      </c>
      <c r="J37" s="363" t="s">
        <v>428</v>
      </c>
      <c r="K37" s="364"/>
      <c r="L37" s="23"/>
      <c r="M37" s="365"/>
    </row>
    <row r="38" spans="1:13" x14ac:dyDescent="0.3">
      <c r="A38" s="168">
        <v>29</v>
      </c>
      <c r="B38" s="96" t="s">
        <v>339</v>
      </c>
      <c r="C38" s="403">
        <f>+C36/C37</f>
        <v>1269332962.2783048</v>
      </c>
      <c r="D38" s="36"/>
      <c r="E38" s="100"/>
      <c r="F38" s="403">
        <f>+F36/F37</f>
        <v>499604020.67092127</v>
      </c>
      <c r="G38" s="403">
        <f>+G36/G37</f>
        <v>769728941.60738361</v>
      </c>
      <c r="H38" s="399">
        <f>SUM(F38:G38)-C38</f>
        <v>0</v>
      </c>
      <c r="I38" s="399"/>
      <c r="J38" s="382" t="s">
        <v>429</v>
      </c>
      <c r="K38" s="388">
        <f>+C35</f>
        <v>5068352.99318753</v>
      </c>
      <c r="L38" s="23"/>
      <c r="M38" s="365"/>
    </row>
    <row r="39" spans="1:13" x14ac:dyDescent="0.3">
      <c r="A39" s="168">
        <v>30</v>
      </c>
      <c r="B39" s="96" t="s">
        <v>340</v>
      </c>
      <c r="C39" s="100">
        <v>20535748.503355935</v>
      </c>
      <c r="D39" s="100"/>
      <c r="E39" s="100"/>
      <c r="F39" s="96"/>
      <c r="G39" s="96"/>
      <c r="J39" s="382" t="s">
        <v>430</v>
      </c>
      <c r="K39" s="388">
        <f>+C21</f>
        <v>8840460.579817621</v>
      </c>
      <c r="L39" s="23"/>
      <c r="M39" s="365"/>
    </row>
    <row r="40" spans="1:13" x14ac:dyDescent="0.3">
      <c r="A40" s="168">
        <v>31</v>
      </c>
      <c r="B40" s="96"/>
      <c r="C40" s="96"/>
      <c r="D40" s="404"/>
      <c r="E40" s="404"/>
      <c r="F40" s="405"/>
      <c r="G40" s="406"/>
      <c r="J40" s="382" t="s">
        <v>34</v>
      </c>
      <c r="K40" s="388">
        <f>+C22</f>
        <v>3895439.2738404199</v>
      </c>
      <c r="L40" s="23"/>
      <c r="M40" s="365"/>
    </row>
    <row r="41" spans="1:13" x14ac:dyDescent="0.3">
      <c r="A41" s="168">
        <v>32</v>
      </c>
      <c r="B41" s="96"/>
      <c r="C41" s="407" t="s">
        <v>341</v>
      </c>
      <c r="D41" s="407" t="s">
        <v>342</v>
      </c>
      <c r="E41" s="407"/>
      <c r="F41" s="408"/>
      <c r="G41" s="409"/>
      <c r="J41" s="382" t="s">
        <v>327</v>
      </c>
      <c r="K41" s="388">
        <f>+C23</f>
        <v>766379.13641918893</v>
      </c>
      <c r="L41" s="23"/>
      <c r="M41" s="365"/>
    </row>
    <row r="42" spans="1:13" x14ac:dyDescent="0.3">
      <c r="A42" s="168">
        <v>33</v>
      </c>
      <c r="B42" s="96"/>
      <c r="C42" s="410" t="s">
        <v>343</v>
      </c>
      <c r="D42" s="410" t="s">
        <v>343</v>
      </c>
      <c r="E42" s="410"/>
      <c r="F42" s="411"/>
      <c r="G42" s="412"/>
      <c r="J42" s="382" t="s">
        <v>431</v>
      </c>
      <c r="K42" s="388">
        <f>+C24</f>
        <v>1989467.6013443223</v>
      </c>
      <c r="L42" s="23"/>
      <c r="M42" s="365"/>
    </row>
    <row r="43" spans="1:13" x14ac:dyDescent="0.3">
      <c r="A43" s="168">
        <v>34</v>
      </c>
      <c r="B43" s="96"/>
      <c r="C43" s="413" t="s">
        <v>388</v>
      </c>
      <c r="D43" s="77"/>
      <c r="E43" s="77"/>
      <c r="F43" s="407"/>
      <c r="G43" s="407"/>
      <c r="J43" s="382" t="s">
        <v>426</v>
      </c>
      <c r="K43" s="414">
        <f>+C28</f>
        <v>-8666881.7085096519</v>
      </c>
      <c r="L43" s="23"/>
      <c r="M43" s="365"/>
    </row>
    <row r="44" spans="1:13" x14ac:dyDescent="0.3">
      <c r="A44" s="168">
        <v>35</v>
      </c>
      <c r="B44" s="96" t="s">
        <v>344</v>
      </c>
      <c r="C44" s="379">
        <f>D36</f>
        <v>58.789267906160653</v>
      </c>
      <c r="D44" s="379">
        <f>C44/$C$37</f>
        <v>61.81089343156259</v>
      </c>
      <c r="E44" s="389"/>
      <c r="F44" s="389"/>
      <c r="G44" s="389"/>
      <c r="J44" s="382" t="s">
        <v>334</v>
      </c>
      <c r="K44" s="414">
        <f>+C32</f>
        <v>876514.03</v>
      </c>
      <c r="L44" s="23"/>
      <c r="M44" s="365"/>
    </row>
    <row r="45" spans="1:13" x14ac:dyDescent="0.3">
      <c r="A45" s="168">
        <v>36</v>
      </c>
      <c r="B45" s="96" t="s">
        <v>345</v>
      </c>
      <c r="C45" s="379">
        <f>SUM(D14,D16:D17,D20:D22,D24,D28:D29,D32:D35)</f>
        <v>23.139204204938995</v>
      </c>
      <c r="D45" s="379">
        <f>C45/C$37</f>
        <v>24.328503077902244</v>
      </c>
      <c r="E45" s="389"/>
      <c r="F45" s="415"/>
      <c r="G45" s="96"/>
      <c r="J45" s="382" t="s">
        <v>432</v>
      </c>
      <c r="K45" s="414">
        <f>+C33</f>
        <v>175236922.54322088</v>
      </c>
      <c r="L45" s="23"/>
      <c r="M45" s="365"/>
    </row>
    <row r="46" spans="1:13" x14ac:dyDescent="0.3">
      <c r="A46" s="168">
        <v>37</v>
      </c>
      <c r="B46" s="96" t="s">
        <v>346</v>
      </c>
      <c r="C46" s="416">
        <f>SUM(D15,D18:D19,D23,D25:D27,D30:D31)</f>
        <v>35.650063701221669</v>
      </c>
      <c r="D46" s="416">
        <f>C46/C$37</f>
        <v>37.482390353660357</v>
      </c>
      <c r="E46" s="389"/>
      <c r="F46" s="415"/>
      <c r="G46" s="96"/>
      <c r="J46" s="382" t="s">
        <v>433</v>
      </c>
      <c r="K46" s="414">
        <f>+C34</f>
        <v>3531950.8300239993</v>
      </c>
      <c r="L46" s="23"/>
      <c r="M46" s="365"/>
    </row>
    <row r="47" spans="1:13" x14ac:dyDescent="0.3">
      <c r="A47" s="168">
        <v>38</v>
      </c>
      <c r="B47" s="96" t="s">
        <v>344</v>
      </c>
      <c r="C47" s="379">
        <f>SUM(C45:C46)</f>
        <v>58.78926790616066</v>
      </c>
      <c r="D47" s="379">
        <f>SUM(D45:D46)</f>
        <v>61.810893431562604</v>
      </c>
      <c r="E47" s="389"/>
      <c r="F47" s="389"/>
      <c r="G47" s="389"/>
      <c r="J47" s="382" t="s">
        <v>434</v>
      </c>
      <c r="K47" s="414">
        <f>+C31</f>
        <v>-27552250.181711692</v>
      </c>
      <c r="L47" s="23"/>
      <c r="M47" s="365"/>
    </row>
    <row r="48" spans="1:13" x14ac:dyDescent="0.3">
      <c r="A48" s="39"/>
      <c r="J48" s="382" t="s">
        <v>150</v>
      </c>
      <c r="K48" s="374">
        <f>SUM(K38:K47)</f>
        <v>163986355.09763262</v>
      </c>
      <c r="L48" s="23"/>
      <c r="M48" s="365"/>
    </row>
    <row r="49" spans="1:13" x14ac:dyDescent="0.3">
      <c r="A49" s="39"/>
      <c r="B49" s="417" t="s">
        <v>534</v>
      </c>
      <c r="E49" s="36"/>
      <c r="F49" s="36"/>
      <c r="G49" s="36"/>
      <c r="J49" s="382"/>
      <c r="K49" s="364"/>
      <c r="L49" s="23"/>
      <c r="M49" s="365"/>
    </row>
    <row r="50" spans="1:13" x14ac:dyDescent="0.3">
      <c r="A50" s="39"/>
      <c r="E50" s="36"/>
      <c r="F50" s="36"/>
      <c r="G50" s="36"/>
      <c r="J50" s="382" t="s">
        <v>435</v>
      </c>
      <c r="K50" s="418">
        <f>SUM(K30,K35,K48)</f>
        <v>1040163419.3412309</v>
      </c>
      <c r="L50" s="23"/>
      <c r="M50" s="365"/>
    </row>
    <row r="51" spans="1:13" ht="15" thickBot="1" x14ac:dyDescent="0.35">
      <c r="A51" s="39"/>
      <c r="B51" s="267"/>
      <c r="C51" s="96"/>
      <c r="D51" s="419" t="s">
        <v>365</v>
      </c>
      <c r="E51" s="36"/>
      <c r="F51" s="36"/>
      <c r="G51" s="36"/>
      <c r="J51" s="382"/>
      <c r="K51" s="364"/>
      <c r="L51" s="23"/>
      <c r="M51" s="365"/>
    </row>
    <row r="52" spans="1:13" x14ac:dyDescent="0.3">
      <c r="A52" s="39"/>
      <c r="B52" s="420" t="s">
        <v>366</v>
      </c>
      <c r="C52" s="421" t="s">
        <v>382</v>
      </c>
      <c r="D52" s="422" t="s">
        <v>383</v>
      </c>
      <c r="E52" s="36"/>
      <c r="F52" s="36"/>
      <c r="G52" s="36"/>
      <c r="J52" s="382" t="s">
        <v>436</v>
      </c>
      <c r="K52" s="418">
        <f>SUM(C14,C16:C17)</f>
        <v>167118201.07609931</v>
      </c>
      <c r="L52" s="23"/>
      <c r="M52" s="365"/>
    </row>
    <row r="53" spans="1:13" x14ac:dyDescent="0.3">
      <c r="A53" s="39"/>
      <c r="B53" s="423" t="s">
        <v>367</v>
      </c>
      <c r="C53" s="424">
        <v>407</v>
      </c>
      <c r="D53" s="425">
        <v>4459451.03318753</v>
      </c>
      <c r="E53" s="36"/>
      <c r="F53" s="36"/>
      <c r="G53" s="36"/>
      <c r="J53" s="382"/>
      <c r="K53" s="426"/>
      <c r="L53" s="23"/>
      <c r="M53" s="365"/>
    </row>
    <row r="54" spans="1:13" x14ac:dyDescent="0.3">
      <c r="A54" s="39"/>
      <c r="B54" s="427" t="s">
        <v>368</v>
      </c>
      <c r="C54" s="419">
        <v>407.3</v>
      </c>
      <c r="D54" s="428">
        <v>687420</v>
      </c>
      <c r="E54" s="36"/>
      <c r="F54" s="36"/>
      <c r="G54" s="36"/>
      <c r="J54" s="382" t="s">
        <v>437</v>
      </c>
      <c r="K54" s="429">
        <f>SUM(K50,K52)</f>
        <v>1207281620.4173303</v>
      </c>
      <c r="L54" s="23"/>
      <c r="M54" s="365"/>
    </row>
    <row r="55" spans="1:13" ht="15" thickBot="1" x14ac:dyDescent="0.35">
      <c r="A55" s="39"/>
      <c r="B55" s="427" t="s">
        <v>369</v>
      </c>
      <c r="C55" s="419">
        <v>407.3</v>
      </c>
      <c r="D55" s="428">
        <v>2885052</v>
      </c>
      <c r="E55" s="36"/>
      <c r="F55" s="36"/>
      <c r="G55" s="36"/>
      <c r="J55" s="430" t="s">
        <v>455</v>
      </c>
      <c r="K55" s="431">
        <f>+C36-K54</f>
        <v>0</v>
      </c>
      <c r="L55" s="23"/>
      <c r="M55" s="365"/>
    </row>
    <row r="56" spans="1:13" ht="15.6" thickTop="1" thickBot="1" x14ac:dyDescent="0.35">
      <c r="A56" s="39"/>
      <c r="B56" s="427" t="s">
        <v>370</v>
      </c>
      <c r="C56" s="432"/>
      <c r="D56" s="433">
        <f>SUM(D53:D55)</f>
        <v>8031923.03318753</v>
      </c>
      <c r="E56" s="36"/>
      <c r="F56" s="36"/>
      <c r="G56" s="36"/>
      <c r="J56" s="382"/>
      <c r="K56" s="364"/>
      <c r="L56" s="23"/>
      <c r="M56" s="365"/>
    </row>
    <row r="57" spans="1:13" ht="15.6" thickTop="1" thickBot="1" x14ac:dyDescent="0.35">
      <c r="A57" s="39"/>
      <c r="B57" s="434"/>
      <c r="C57" s="435" t="s">
        <v>371</v>
      </c>
      <c r="D57" s="436">
        <v>0</v>
      </c>
      <c r="E57" s="36"/>
      <c r="F57" s="36"/>
      <c r="G57" s="36"/>
      <c r="J57" s="363" t="s">
        <v>440</v>
      </c>
      <c r="K57" s="364"/>
      <c r="L57" s="23"/>
      <c r="M57" s="365"/>
    </row>
    <row r="58" spans="1:13" x14ac:dyDescent="0.3">
      <c r="A58" s="39"/>
      <c r="E58" s="36"/>
      <c r="F58" s="36"/>
      <c r="G58" s="36"/>
      <c r="J58" s="382" t="s">
        <v>441</v>
      </c>
      <c r="K58" s="414">
        <f>+C18</f>
        <v>37089392.406405531</v>
      </c>
      <c r="L58" s="23"/>
      <c r="M58" s="365"/>
    </row>
    <row r="59" spans="1:13" x14ac:dyDescent="0.3">
      <c r="A59" s="39"/>
      <c r="B59" s="36"/>
      <c r="C59" s="36"/>
      <c r="D59" s="36"/>
      <c r="J59" s="382" t="s">
        <v>442</v>
      </c>
      <c r="K59" s="414">
        <f>+C26</f>
        <v>126925932.5832969</v>
      </c>
      <c r="L59" s="23"/>
      <c r="M59" s="365"/>
    </row>
    <row r="60" spans="1:13" x14ac:dyDescent="0.3">
      <c r="A60" s="39"/>
      <c r="B60" s="36"/>
      <c r="C60" s="36"/>
      <c r="D60" s="36"/>
      <c r="J60" s="382" t="s">
        <v>443</v>
      </c>
      <c r="K60" s="437">
        <f>SUM(K58:K59)</f>
        <v>164015324.98970243</v>
      </c>
      <c r="L60" s="23"/>
      <c r="M60" s="365"/>
    </row>
    <row r="61" spans="1:13" x14ac:dyDescent="0.3">
      <c r="A61" s="39"/>
      <c r="B61" s="36"/>
      <c r="C61" s="36"/>
      <c r="D61" s="438"/>
      <c r="J61" s="382" t="s">
        <v>444</v>
      </c>
      <c r="K61" s="439">
        <v>164015324.98970237</v>
      </c>
      <c r="L61" s="23"/>
      <c r="M61" s="365"/>
    </row>
    <row r="62" spans="1:13" x14ac:dyDescent="0.3">
      <c r="A62" s="39"/>
      <c r="B62" s="36"/>
      <c r="C62" s="36"/>
      <c r="D62" s="438"/>
      <c r="J62" s="430" t="s">
        <v>455</v>
      </c>
      <c r="K62" s="440">
        <f>+K60-K61</f>
        <v>0</v>
      </c>
      <c r="L62" s="23"/>
      <c r="M62" s="365"/>
    </row>
    <row r="63" spans="1:13" x14ac:dyDescent="0.3">
      <c r="A63" s="39"/>
      <c r="B63" s="36"/>
      <c r="C63" s="36"/>
      <c r="D63" s="36"/>
      <c r="J63" s="382"/>
      <c r="K63" s="364"/>
      <c r="L63" s="23"/>
      <c r="M63" s="365"/>
    </row>
    <row r="64" spans="1:13" x14ac:dyDescent="0.3">
      <c r="A64" s="39"/>
      <c r="B64" s="36"/>
      <c r="C64" s="36"/>
      <c r="D64" s="36"/>
      <c r="J64" s="382" t="s">
        <v>445</v>
      </c>
      <c r="K64" s="414">
        <f>+C19</f>
        <v>487088103.68130493</v>
      </c>
      <c r="L64" s="23"/>
      <c r="M64" s="365"/>
    </row>
    <row r="65" spans="1:13" x14ac:dyDescent="0.3">
      <c r="A65" s="39"/>
      <c r="B65" s="36"/>
      <c r="C65" s="36"/>
      <c r="D65" s="36"/>
      <c r="J65" s="382" t="s">
        <v>446</v>
      </c>
      <c r="K65" s="414">
        <f>+C20</f>
        <v>8072158.7332714284</v>
      </c>
      <c r="L65" s="23"/>
      <c r="M65" s="365"/>
    </row>
    <row r="66" spans="1:13" x14ac:dyDescent="0.3">
      <c r="A66" s="39"/>
      <c r="B66" s="36"/>
      <c r="C66" s="36"/>
      <c r="D66" s="36"/>
      <c r="J66" s="382" t="s">
        <v>447</v>
      </c>
      <c r="K66" s="414">
        <f>+C25</f>
        <v>426928.32671306725</v>
      </c>
      <c r="L66" s="23"/>
      <c r="M66" s="365"/>
    </row>
    <row r="67" spans="1:13" x14ac:dyDescent="0.3">
      <c r="A67" s="39"/>
      <c r="B67" s="36"/>
      <c r="C67" s="36"/>
      <c r="D67" s="36"/>
      <c r="J67" s="382" t="s">
        <v>448</v>
      </c>
      <c r="K67" s="414">
        <f>+C15</f>
        <v>3913502.79561463</v>
      </c>
      <c r="L67" s="23"/>
      <c r="M67" s="365"/>
    </row>
    <row r="68" spans="1:13" x14ac:dyDescent="0.3">
      <c r="A68" s="39"/>
      <c r="B68" s="36"/>
      <c r="C68" s="36"/>
      <c r="D68" s="36"/>
      <c r="J68" s="382" t="s">
        <v>457</v>
      </c>
      <c r="K68" s="437">
        <f>SUM(K64:K67)</f>
        <v>499500693.5369041</v>
      </c>
      <c r="L68" s="23"/>
      <c r="M68" s="365"/>
    </row>
    <row r="69" spans="1:13" x14ac:dyDescent="0.3">
      <c r="A69" s="39"/>
      <c r="B69" s="36"/>
      <c r="C69" s="36"/>
      <c r="D69" s="36"/>
      <c r="J69" s="382" t="s">
        <v>449</v>
      </c>
      <c r="K69" s="441">
        <v>499500693.53690404</v>
      </c>
      <c r="L69" s="23"/>
      <c r="M69" s="365"/>
    </row>
    <row r="70" spans="1:13" x14ac:dyDescent="0.3">
      <c r="A70" s="39"/>
      <c r="B70" s="36"/>
      <c r="C70" s="36"/>
      <c r="D70" s="36"/>
      <c r="J70" s="430" t="s">
        <v>455</v>
      </c>
      <c r="K70" s="440">
        <f>+K68-K69</f>
        <v>0</v>
      </c>
      <c r="L70" s="23"/>
      <c r="M70" s="365"/>
    </row>
    <row r="71" spans="1:13" x14ac:dyDescent="0.3">
      <c r="A71" s="39"/>
      <c r="B71" s="36"/>
      <c r="C71" s="36"/>
      <c r="D71" s="36"/>
      <c r="J71" s="382"/>
      <c r="K71" s="364"/>
      <c r="L71" s="23"/>
      <c r="M71" s="365"/>
    </row>
    <row r="72" spans="1:13" x14ac:dyDescent="0.3">
      <c r="A72" s="39"/>
      <c r="B72" s="36"/>
      <c r="C72" s="36"/>
      <c r="D72" s="36"/>
      <c r="J72" s="382" t="s">
        <v>450</v>
      </c>
      <c r="K72" s="414">
        <f>+C27</f>
        <v>112486392.77130413</v>
      </c>
      <c r="L72" s="23"/>
      <c r="M72" s="365"/>
    </row>
    <row r="73" spans="1:13" x14ac:dyDescent="0.3">
      <c r="A73" s="39"/>
      <c r="B73" s="36"/>
      <c r="C73" s="36"/>
      <c r="D73" s="36"/>
      <c r="J73" s="382" t="s">
        <v>451</v>
      </c>
      <c r="K73" s="441">
        <v>112486392.77130413</v>
      </c>
      <c r="L73" s="23"/>
      <c r="M73" s="365"/>
    </row>
    <row r="74" spans="1:13" x14ac:dyDescent="0.3">
      <c r="A74" s="39"/>
      <c r="B74" s="36"/>
      <c r="C74" s="36"/>
      <c r="D74" s="36"/>
      <c r="J74" s="430" t="s">
        <v>455</v>
      </c>
      <c r="K74" s="440">
        <f>+K72-K73</f>
        <v>0</v>
      </c>
      <c r="L74" s="23"/>
      <c r="M74" s="365"/>
    </row>
    <row r="75" spans="1:13" x14ac:dyDescent="0.3">
      <c r="A75" s="39"/>
      <c r="B75" s="36"/>
      <c r="C75" s="36"/>
      <c r="D75" s="36"/>
      <c r="J75" s="382"/>
      <c r="K75" s="364"/>
      <c r="L75" s="23"/>
      <c r="M75" s="365"/>
    </row>
    <row r="76" spans="1:13" x14ac:dyDescent="0.3">
      <c r="A76" s="39"/>
      <c r="B76" s="36"/>
      <c r="C76" s="36"/>
      <c r="D76" s="36"/>
      <c r="J76" s="382" t="s">
        <v>452</v>
      </c>
      <c r="K76" s="414">
        <f>+C29</f>
        <v>109218292.16812748</v>
      </c>
      <c r="L76" s="23"/>
      <c r="M76" s="365"/>
    </row>
    <row r="77" spans="1:13" x14ac:dyDescent="0.3">
      <c r="A77" s="39"/>
      <c r="B77" s="36"/>
      <c r="C77" s="36"/>
      <c r="D77" s="36"/>
      <c r="J77" s="382" t="s">
        <v>458</v>
      </c>
      <c r="K77" s="439">
        <v>109218292.16812748</v>
      </c>
      <c r="L77" s="23"/>
      <c r="M77" s="365"/>
    </row>
    <row r="78" spans="1:13" x14ac:dyDescent="0.3">
      <c r="A78" s="39"/>
      <c r="B78" s="36"/>
      <c r="C78" s="36"/>
      <c r="D78" s="36"/>
      <c r="J78" s="430" t="s">
        <v>455</v>
      </c>
      <c r="K78" s="440">
        <f>+K76-K77</f>
        <v>0</v>
      </c>
      <c r="L78" s="23"/>
      <c r="M78" s="365"/>
    </row>
    <row r="79" spans="1:13" x14ac:dyDescent="0.3">
      <c r="A79" s="39"/>
      <c r="B79" s="36"/>
      <c r="C79" s="36"/>
      <c r="D79" s="36"/>
      <c r="J79" s="382"/>
      <c r="K79" s="364"/>
      <c r="L79" s="23"/>
      <c r="M79" s="365"/>
    </row>
    <row r="80" spans="1:13" x14ac:dyDescent="0.3">
      <c r="A80" s="39"/>
      <c r="B80" s="36"/>
      <c r="C80" s="36"/>
      <c r="D80" s="36"/>
      <c r="J80" s="382" t="s">
        <v>453</v>
      </c>
      <c r="K80" s="414">
        <f>+C30</f>
        <v>-9043639.2224400043</v>
      </c>
      <c r="L80" s="23"/>
      <c r="M80" s="365"/>
    </row>
    <row r="81" spans="1:13" x14ac:dyDescent="0.3">
      <c r="A81" s="39"/>
      <c r="B81" s="36"/>
      <c r="C81" s="36"/>
      <c r="D81" s="36"/>
      <c r="J81" s="382" t="s">
        <v>454</v>
      </c>
      <c r="K81" s="441">
        <v>-9043639.2224400043</v>
      </c>
      <c r="L81" s="23"/>
      <c r="M81" s="365"/>
    </row>
    <row r="82" spans="1:13" x14ac:dyDescent="0.3">
      <c r="A82" s="39"/>
      <c r="B82" s="36"/>
      <c r="C82" s="36"/>
      <c r="D82" s="36"/>
      <c r="J82" s="430" t="s">
        <v>455</v>
      </c>
      <c r="K82" s="440">
        <f>+K80-K81</f>
        <v>0</v>
      </c>
      <c r="L82" s="23"/>
      <c r="M82" s="365"/>
    </row>
    <row r="83" spans="1:13" ht="15" thickBot="1" x14ac:dyDescent="0.35">
      <c r="A83" s="39"/>
      <c r="C83" s="68"/>
      <c r="D83" s="68"/>
      <c r="J83" s="442"/>
      <c r="K83" s="443"/>
      <c r="L83" s="444"/>
      <c r="M83" s="445"/>
    </row>
    <row r="84" spans="1:13" x14ac:dyDescent="0.3">
      <c r="A84" s="39"/>
      <c r="C84" s="68"/>
      <c r="D84" s="68"/>
    </row>
    <row r="85" spans="1:13" x14ac:dyDescent="0.3">
      <c r="A85" s="39"/>
      <c r="C85" s="68"/>
      <c r="D85" s="68"/>
    </row>
    <row r="86" spans="1:13" x14ac:dyDescent="0.3">
      <c r="A86" s="39"/>
      <c r="C86" s="68"/>
      <c r="D86" s="68"/>
    </row>
    <row r="87" spans="1:13" x14ac:dyDescent="0.3">
      <c r="A87" s="39"/>
      <c r="C87" s="68"/>
      <c r="D87" s="68"/>
    </row>
    <row r="88" spans="1:13" x14ac:dyDescent="0.3">
      <c r="A88" s="39"/>
      <c r="C88" s="68"/>
      <c r="D88" s="68"/>
    </row>
    <row r="89" spans="1:13" x14ac:dyDescent="0.3">
      <c r="A89" s="39"/>
      <c r="C89" s="68"/>
      <c r="D89" s="68"/>
    </row>
    <row r="90" spans="1:13" x14ac:dyDescent="0.3">
      <c r="A90" s="39"/>
    </row>
    <row r="91" spans="1:13" x14ac:dyDescent="0.3">
      <c r="A91" s="39"/>
    </row>
    <row r="92" spans="1:13" x14ac:dyDescent="0.3">
      <c r="A92" s="39"/>
    </row>
    <row r="93" spans="1:13" x14ac:dyDescent="0.3">
      <c r="A93" s="39"/>
    </row>
    <row r="94" spans="1:13" x14ac:dyDescent="0.3">
      <c r="A94" s="39"/>
    </row>
    <row r="95" spans="1:13" x14ac:dyDescent="0.3">
      <c r="A95" s="39"/>
    </row>
    <row r="96" spans="1:13" x14ac:dyDescent="0.3">
      <c r="A96" s="39"/>
    </row>
    <row r="97" spans="1:1" x14ac:dyDescent="0.3">
      <c r="A97" s="39"/>
    </row>
    <row r="98" spans="1:1" x14ac:dyDescent="0.3">
      <c r="A98" s="39"/>
    </row>
    <row r="99" spans="1:1" x14ac:dyDescent="0.3">
      <c r="A99" s="39"/>
    </row>
    <row r="100" spans="1:1" x14ac:dyDescent="0.3">
      <c r="A100" s="39"/>
    </row>
    <row r="101" spans="1:1" x14ac:dyDescent="0.3">
      <c r="A101" s="39"/>
    </row>
    <row r="102" spans="1:1" x14ac:dyDescent="0.3">
      <c r="A102" s="39"/>
    </row>
    <row r="103" spans="1:1" x14ac:dyDescent="0.3">
      <c r="A103" s="39"/>
    </row>
    <row r="104" spans="1:1" x14ac:dyDescent="0.3">
      <c r="A104" s="39"/>
    </row>
    <row r="105" spans="1:1" x14ac:dyDescent="0.3">
      <c r="A105" s="39"/>
    </row>
    <row r="106" spans="1:1" x14ac:dyDescent="0.3">
      <c r="A106" s="39"/>
    </row>
    <row r="107" spans="1:1" x14ac:dyDescent="0.3">
      <c r="A107" s="39"/>
    </row>
    <row r="108" spans="1:1" x14ac:dyDescent="0.3">
      <c r="A108" s="39"/>
    </row>
    <row r="109" spans="1:1" x14ac:dyDescent="0.3">
      <c r="A109" s="39"/>
    </row>
    <row r="110" spans="1:1" x14ac:dyDescent="0.3">
      <c r="A110" s="39"/>
    </row>
    <row r="111" spans="1:1" x14ac:dyDescent="0.3">
      <c r="A111" s="39"/>
    </row>
    <row r="112" spans="1:1" x14ac:dyDescent="0.3">
      <c r="A112" s="39"/>
    </row>
    <row r="113" spans="1:1" x14ac:dyDescent="0.3">
      <c r="A113" s="39"/>
    </row>
    <row r="114" spans="1:1" x14ac:dyDescent="0.3">
      <c r="A114" s="39"/>
    </row>
    <row r="115" spans="1:1" x14ac:dyDescent="0.3">
      <c r="A115" s="39"/>
    </row>
    <row r="116" spans="1:1" x14ac:dyDescent="0.3">
      <c r="A116" s="39"/>
    </row>
    <row r="117" spans="1:1" x14ac:dyDescent="0.3">
      <c r="A117" s="39"/>
    </row>
    <row r="118" spans="1:1" x14ac:dyDescent="0.3">
      <c r="A118" s="39"/>
    </row>
    <row r="119" spans="1:1" x14ac:dyDescent="0.3">
      <c r="A119" s="39"/>
    </row>
    <row r="120" spans="1:1" x14ac:dyDescent="0.3">
      <c r="A120" s="39"/>
    </row>
    <row r="121" spans="1:1" x14ac:dyDescent="0.3">
      <c r="A121" s="39"/>
    </row>
    <row r="122" spans="1:1" x14ac:dyDescent="0.3">
      <c r="A122" s="39"/>
    </row>
    <row r="123" spans="1:1" x14ac:dyDescent="0.3">
      <c r="A123" s="39"/>
    </row>
    <row r="124" spans="1:1" x14ac:dyDescent="0.3">
      <c r="A124" s="39"/>
    </row>
    <row r="125" spans="1:1" x14ac:dyDescent="0.3">
      <c r="A125" s="39"/>
    </row>
    <row r="126" spans="1:1" x14ac:dyDescent="0.3">
      <c r="A126" s="39"/>
    </row>
    <row r="127" spans="1:1" x14ac:dyDescent="0.3">
      <c r="A127" s="39"/>
    </row>
    <row r="128" spans="1:1" x14ac:dyDescent="0.3">
      <c r="A128" s="39"/>
    </row>
    <row r="129" spans="1:1" x14ac:dyDescent="0.3">
      <c r="A129" s="39"/>
    </row>
    <row r="130" spans="1:1" x14ac:dyDescent="0.3">
      <c r="A130" s="39"/>
    </row>
    <row r="131" spans="1:1" x14ac:dyDescent="0.3">
      <c r="A131" s="39"/>
    </row>
  </sheetData>
  <pageMargins left="0.7" right="0.7" top="0.75" bottom="0.75" header="0.3" footer="0.3"/>
  <pageSetup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workbookViewId="0">
      <selection sqref="A1:XFD1048576"/>
    </sheetView>
  </sheetViews>
  <sheetFormatPr defaultColWidth="9.109375" defaultRowHeight="14.4" x14ac:dyDescent="0.3"/>
  <cols>
    <col min="1" max="1" width="13.6640625" style="206" customWidth="1"/>
    <col min="2" max="2" width="18.5546875" style="36" bestFit="1" customWidth="1"/>
    <col min="3" max="3" width="16.6640625" style="36" bestFit="1" customWidth="1"/>
    <col min="4" max="4" width="12.5546875" style="36" bestFit="1" customWidth="1"/>
    <col min="5" max="5" width="13.33203125" style="36" bestFit="1" customWidth="1"/>
    <col min="6" max="6" width="1.6640625" style="36" customWidth="1"/>
    <col min="7" max="7" width="11.5546875" style="36" bestFit="1" customWidth="1"/>
    <col min="8" max="8" width="15.33203125" style="36" bestFit="1" customWidth="1"/>
    <col min="9" max="9" width="12" style="36" bestFit="1" customWidth="1"/>
    <col min="10" max="10" width="12.33203125" style="36" bestFit="1" customWidth="1"/>
    <col min="11" max="11" width="11.6640625" style="36" bestFit="1" customWidth="1"/>
    <col min="12" max="12" width="11.33203125" style="36" bestFit="1" customWidth="1"/>
    <col min="13" max="13" width="8.5546875" style="36" bestFit="1" customWidth="1"/>
    <col min="14" max="15" width="11.33203125" style="36" bestFit="1" customWidth="1"/>
    <col min="16" max="16" width="15.88671875" style="36" bestFit="1" customWidth="1"/>
    <col min="17" max="16384" width="9.109375" style="36"/>
  </cols>
  <sheetData>
    <row r="1" spans="1:16" x14ac:dyDescent="0.3">
      <c r="A1" s="206" t="s">
        <v>52</v>
      </c>
    </row>
    <row r="2" spans="1:16" x14ac:dyDescent="0.3">
      <c r="A2" s="206" t="s">
        <v>248</v>
      </c>
    </row>
    <row r="3" spans="1:16" x14ac:dyDescent="0.3">
      <c r="A3" s="206" t="s">
        <v>247</v>
      </c>
    </row>
    <row r="5" spans="1:16" x14ac:dyDescent="0.3">
      <c r="A5" s="207"/>
    </row>
    <row r="7" spans="1:16" s="209" customFormat="1" ht="28.8" x14ac:dyDescent="0.3">
      <c r="A7" s="208" t="s">
        <v>246</v>
      </c>
      <c r="B7" s="208" t="s">
        <v>245</v>
      </c>
      <c r="C7" s="208" t="s">
        <v>244</v>
      </c>
      <c r="D7" s="208" t="s">
        <v>243</v>
      </c>
      <c r="E7" s="208" t="s">
        <v>242</v>
      </c>
      <c r="F7" s="208"/>
      <c r="G7" s="208" t="s">
        <v>241</v>
      </c>
      <c r="H7" s="208" t="s">
        <v>240</v>
      </c>
      <c r="I7" s="208" t="s">
        <v>239</v>
      </c>
      <c r="J7" s="208" t="s">
        <v>238</v>
      </c>
      <c r="K7" s="208" t="s">
        <v>237</v>
      </c>
      <c r="L7" s="208" t="s">
        <v>236</v>
      </c>
      <c r="M7" s="208" t="s">
        <v>235</v>
      </c>
      <c r="N7" s="208" t="s">
        <v>234</v>
      </c>
      <c r="O7" s="208" t="s">
        <v>233</v>
      </c>
    </row>
    <row r="8" spans="1:16" x14ac:dyDescent="0.3">
      <c r="A8" s="186">
        <v>2016</v>
      </c>
      <c r="B8" s="34">
        <v>16484442.43</v>
      </c>
      <c r="C8" s="34">
        <v>915802.35722222226</v>
      </c>
      <c r="D8" s="34">
        <v>915802.35722222226</v>
      </c>
      <c r="E8" s="34">
        <v>15568640.072777778</v>
      </c>
      <c r="F8" s="34"/>
      <c r="G8" s="34">
        <v>16484442.43</v>
      </c>
      <c r="H8" s="34">
        <v>9615952.2249040511</v>
      </c>
      <c r="I8" s="34">
        <f>H8</f>
        <v>9615952.2249040511</v>
      </c>
      <c r="J8" s="34">
        <f>G8-I8</f>
        <v>6868490.2050959487</v>
      </c>
      <c r="K8" s="34">
        <f>-E8+J8</f>
        <v>-8700149.8676818293</v>
      </c>
      <c r="L8" s="34">
        <f>K8</f>
        <v>-8700149.8676818293</v>
      </c>
      <c r="M8" s="210">
        <v>0.35</v>
      </c>
      <c r="N8" s="34">
        <f>-L8*M8</f>
        <v>3045052.4536886401</v>
      </c>
      <c r="O8" s="34">
        <f>-N8</f>
        <v>-3045052.4536886401</v>
      </c>
    </row>
    <row r="9" spans="1:16" ht="15" thickBot="1" x14ac:dyDescent="0.35">
      <c r="A9" s="186">
        <v>2017</v>
      </c>
      <c r="B9" s="34">
        <v>16990239.199999999</v>
      </c>
      <c r="C9" s="34">
        <v>5663413.0666666664</v>
      </c>
      <c r="D9" s="34">
        <v>6579215.4238888882</v>
      </c>
      <c r="E9" s="34">
        <v>10411023.776111111</v>
      </c>
      <c r="F9" s="34"/>
      <c r="G9" s="34">
        <v>16990239.199999999</v>
      </c>
      <c r="H9" s="34">
        <v>3042428.5564239002</v>
      </c>
      <c r="I9" s="34">
        <f>I8+H9</f>
        <v>12658380.781327952</v>
      </c>
      <c r="J9" s="34">
        <f>G9-I9</f>
        <v>4331858.4186720476</v>
      </c>
      <c r="K9" s="34">
        <f>-E9+J9</f>
        <v>-6079165.3574390635</v>
      </c>
      <c r="L9" s="34">
        <f>K9-L8</f>
        <v>2620984.5102427658</v>
      </c>
      <c r="M9" s="210">
        <v>0.35</v>
      </c>
      <c r="N9" s="34">
        <f>-L9*M9</f>
        <v>-917344.578584968</v>
      </c>
      <c r="O9" s="34">
        <f>O8-N9</f>
        <v>-2127707.875103672</v>
      </c>
    </row>
    <row r="10" spans="1:16" ht="15" thickBot="1" x14ac:dyDescent="0.35">
      <c r="A10" s="186" t="s">
        <v>232</v>
      </c>
      <c r="B10" s="55">
        <v>0</v>
      </c>
      <c r="C10" s="211">
        <f>D10-C8-C9</f>
        <v>6108859.7205277756</v>
      </c>
      <c r="D10" s="212">
        <v>12688075.144416664</v>
      </c>
      <c r="E10" s="213">
        <f>B10-D10</f>
        <v>-12688075.144416664</v>
      </c>
      <c r="F10" s="214"/>
      <c r="G10" s="34">
        <f>B10</f>
        <v>0</v>
      </c>
      <c r="H10" s="34">
        <v>2831678.2162680002</v>
      </c>
      <c r="I10" s="34">
        <f>I9+H10</f>
        <v>15490058.997595951</v>
      </c>
      <c r="J10" s="34">
        <f>G10-I10</f>
        <v>-15490058.997595951</v>
      </c>
      <c r="K10" s="34">
        <f>-E10+J10</f>
        <v>-2801983.8531792872</v>
      </c>
      <c r="L10" s="34">
        <f>K10-K9</f>
        <v>3277181.5042597763</v>
      </c>
      <c r="M10" s="210">
        <v>0.35</v>
      </c>
      <c r="N10" s="214">
        <f>-L10*M10</f>
        <v>-1147013.5264909216</v>
      </c>
      <c r="O10" s="34">
        <f>O9-N10</f>
        <v>-980694.34861275041</v>
      </c>
      <c r="P10" s="6"/>
    </row>
    <row r="11" spans="1:16" x14ac:dyDescent="0.3">
      <c r="A11" s="186"/>
      <c r="B11" s="215"/>
      <c r="C11" s="9">
        <f>SUM(C8:C10)</f>
        <v>12688075.144416664</v>
      </c>
      <c r="D11" s="9"/>
      <c r="E11" s="9"/>
      <c r="F11" s="34"/>
      <c r="G11" s="216"/>
      <c r="H11" s="216">
        <f>SUM(H8:H10)</f>
        <v>15490058.997595951</v>
      </c>
      <c r="I11" s="216"/>
      <c r="J11" s="216"/>
      <c r="K11" s="216"/>
      <c r="L11" s="216">
        <f>SUM(L8:L10)</f>
        <v>-2801983.8531792872</v>
      </c>
      <c r="M11" s="53"/>
      <c r="N11" s="34">
        <f>SUM(N8:N10)</f>
        <v>980694.34861275041</v>
      </c>
      <c r="O11" s="216"/>
    </row>
    <row r="12" spans="1:16" x14ac:dyDescent="0.3">
      <c r="A12" s="186"/>
      <c r="B12" s="55"/>
      <c r="C12" s="34">
        <f>D10-C11</f>
        <v>0</v>
      </c>
      <c r="D12" s="189"/>
      <c r="E12" s="34"/>
      <c r="F12" s="34"/>
      <c r="G12" s="34"/>
      <c r="H12" s="34">
        <v>0</v>
      </c>
      <c r="I12" s="189"/>
      <c r="J12" s="34"/>
      <c r="K12" s="34"/>
      <c r="L12" s="34"/>
      <c r="M12" s="54"/>
      <c r="N12" s="54"/>
      <c r="O12" s="34"/>
    </row>
    <row r="13" spans="1:16" x14ac:dyDescent="0.3">
      <c r="A13" s="186"/>
      <c r="B13" s="55"/>
      <c r="C13" s="34"/>
      <c r="D13" s="189"/>
      <c r="E13" s="34"/>
      <c r="F13" s="34"/>
      <c r="G13" s="34"/>
      <c r="H13" s="34"/>
      <c r="I13" s="189"/>
      <c r="J13" s="34"/>
      <c r="K13" s="34"/>
      <c r="L13" s="34"/>
      <c r="M13" s="54"/>
      <c r="N13" s="54"/>
      <c r="O13" s="34"/>
    </row>
    <row r="14" spans="1:16" x14ac:dyDescent="0.3">
      <c r="A14" s="186"/>
      <c r="B14" s="55"/>
      <c r="C14" s="34"/>
      <c r="D14" s="189"/>
      <c r="E14" s="34"/>
      <c r="F14" s="34"/>
      <c r="G14" s="34"/>
      <c r="H14" s="34"/>
      <c r="I14" s="189"/>
      <c r="J14" s="34"/>
      <c r="K14" s="34"/>
      <c r="L14" s="34"/>
      <c r="O14" s="34"/>
    </row>
    <row r="15" spans="1:16" x14ac:dyDescent="0.3">
      <c r="A15" s="186"/>
      <c r="B15" s="55"/>
      <c r="C15" s="34"/>
      <c r="D15" s="34"/>
      <c r="E15" s="34"/>
      <c r="F15" s="34"/>
      <c r="G15" s="34"/>
      <c r="H15" s="34"/>
      <c r="I15" s="34"/>
      <c r="J15" s="34"/>
      <c r="K15" s="34"/>
      <c r="L15" s="34"/>
      <c r="O15" s="34"/>
    </row>
    <row r="16" spans="1:16" x14ac:dyDescent="0.3">
      <c r="A16" s="36"/>
      <c r="B16" s="55"/>
      <c r="C16" s="34"/>
      <c r="D16" s="34"/>
      <c r="E16" s="34"/>
      <c r="F16" s="34"/>
      <c r="G16" s="34"/>
      <c r="H16" s="34"/>
      <c r="I16" s="34"/>
      <c r="J16" s="34"/>
      <c r="K16" s="34"/>
      <c r="L16" s="34"/>
      <c r="O16" s="34"/>
    </row>
    <row r="17" spans="2:15" x14ac:dyDescent="0.3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O17" s="34"/>
    </row>
    <row r="18" spans="2:15" x14ac:dyDescent="0.3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O18" s="34"/>
    </row>
    <row r="19" spans="2:15" x14ac:dyDescent="0.3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O19" s="34"/>
    </row>
    <row r="20" spans="2:15" x14ac:dyDescent="0.3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O20" s="34"/>
    </row>
    <row r="21" spans="2:15" x14ac:dyDescent="0.3">
      <c r="O21" s="34"/>
    </row>
    <row r="22" spans="2:15" x14ac:dyDescent="0.3">
      <c r="O22" s="34"/>
    </row>
    <row r="23" spans="2:15" x14ac:dyDescent="0.3">
      <c r="O23" s="34"/>
    </row>
  </sheetData>
  <pageMargins left="0.7" right="0.7" top="0.75" bottom="0.75" header="0.3" footer="0.3"/>
  <pageSetup scale="60" fitToHeight="0" orientation="landscape" r:id="rId1"/>
  <headerFooter>
    <oddFooter>&amp;LPrepared by: Amy Fang
Prepared on: &amp;D&amp;R&amp;Z&amp;F
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3"/>
  <sheetViews>
    <sheetView zoomScale="83" zoomScaleNormal="83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6640625" defaultRowHeight="14.4" x14ac:dyDescent="0.3"/>
  <cols>
    <col min="1" max="1" width="11.88671875" style="36" bestFit="1" customWidth="1"/>
    <col min="2" max="2" width="19.88671875" style="34" bestFit="1" customWidth="1"/>
    <col min="3" max="3" width="18.5546875" style="36" customWidth="1"/>
    <col min="4" max="4" width="13.6640625" style="36" customWidth="1"/>
    <col min="5" max="5" width="13.44140625" style="36" bestFit="1" customWidth="1"/>
    <col min="6" max="12" width="13" style="36" bestFit="1" customWidth="1"/>
    <col min="13" max="13" width="33.6640625" style="36" bestFit="1" customWidth="1"/>
    <col min="14" max="14" width="13" style="36" bestFit="1" customWidth="1"/>
    <col min="15" max="15" width="13.109375" style="36" bestFit="1" customWidth="1"/>
    <col min="16" max="16" width="14.88671875" style="36" bestFit="1" customWidth="1"/>
    <col min="17" max="17" width="18.5546875" style="36" customWidth="1"/>
    <col min="18" max="16384" width="11.6640625" style="36"/>
  </cols>
  <sheetData>
    <row r="1" spans="1:16" ht="18" x14ac:dyDescent="0.35">
      <c r="A1" s="17" t="s">
        <v>52</v>
      </c>
    </row>
    <row r="2" spans="1:16" ht="18" x14ac:dyDescent="0.35">
      <c r="A2" s="17" t="s">
        <v>231</v>
      </c>
    </row>
    <row r="3" spans="1:16" ht="18" x14ac:dyDescent="0.35">
      <c r="A3" s="17" t="s">
        <v>230</v>
      </c>
    </row>
    <row r="4" spans="1:16" ht="18" x14ac:dyDescent="0.35">
      <c r="A4" s="17"/>
    </row>
    <row r="5" spans="1:16" x14ac:dyDescent="0.3">
      <c r="B5" s="14" t="s">
        <v>229</v>
      </c>
      <c r="C5" s="13" t="s">
        <v>217</v>
      </c>
      <c r="D5" s="13" t="s">
        <v>228</v>
      </c>
      <c r="E5" s="13" t="s">
        <v>227</v>
      </c>
      <c r="F5" s="13" t="s">
        <v>226</v>
      </c>
      <c r="G5" s="13" t="s">
        <v>225</v>
      </c>
      <c r="H5" s="13" t="s">
        <v>224</v>
      </c>
      <c r="I5" s="13" t="s">
        <v>223</v>
      </c>
      <c r="J5" s="13" t="s">
        <v>222</v>
      </c>
      <c r="K5" s="13" t="s">
        <v>221</v>
      </c>
      <c r="L5" s="13" t="s">
        <v>220</v>
      </c>
      <c r="M5" s="13" t="s">
        <v>219</v>
      </c>
      <c r="N5" s="13" t="s">
        <v>218</v>
      </c>
      <c r="O5" s="13" t="s">
        <v>217</v>
      </c>
      <c r="P5" s="16" t="s">
        <v>216</v>
      </c>
    </row>
    <row r="6" spans="1:16" x14ac:dyDescent="0.3">
      <c r="A6" s="5" t="s">
        <v>215</v>
      </c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88"/>
    </row>
    <row r="7" spans="1:16" x14ac:dyDescent="0.3">
      <c r="A7" s="36">
        <v>2017</v>
      </c>
      <c r="B7" s="189">
        <v>250424.54</v>
      </c>
      <c r="C7" s="34">
        <v>250424.54</v>
      </c>
      <c r="D7" s="15">
        <v>243835.96166666667</v>
      </c>
      <c r="E7" s="15">
        <v>243835.96166666667</v>
      </c>
      <c r="F7" s="15">
        <v>20319.663472222222</v>
      </c>
      <c r="G7" s="15">
        <v>20319.663472222222</v>
      </c>
      <c r="H7" s="15">
        <v>1693.3052893518518</v>
      </c>
      <c r="I7" s="15">
        <v>1693.3052893518518</v>
      </c>
      <c r="J7" s="15">
        <v>141.10877411265432</v>
      </c>
      <c r="K7" s="15">
        <v>141.10877411265432</v>
      </c>
      <c r="L7" s="15">
        <v>11.75906450938786</v>
      </c>
      <c r="M7" s="15">
        <v>11.75906450938786</v>
      </c>
      <c r="N7" s="15">
        <v>222968.22992204246</v>
      </c>
      <c r="O7" s="190">
        <v>250424.54</v>
      </c>
      <c r="P7" s="189">
        <v>83483.549704647347</v>
      </c>
    </row>
    <row r="8" spans="1:16" x14ac:dyDescent="0.3">
      <c r="A8" s="36">
        <v>2018</v>
      </c>
      <c r="B8" s="189">
        <v>253964.7</v>
      </c>
      <c r="C8" s="34">
        <f>B8</f>
        <v>253964.7</v>
      </c>
      <c r="D8" s="15">
        <f t="shared" ref="D8:N8" si="0">(B8-B7)/12*1+B7</f>
        <v>250719.55333333334</v>
      </c>
      <c r="E8" s="15">
        <f t="shared" si="0"/>
        <v>250719.55333333334</v>
      </c>
      <c r="F8" s="15">
        <f t="shared" si="0"/>
        <v>244409.59430555557</v>
      </c>
      <c r="G8" s="15">
        <f t="shared" si="0"/>
        <v>244409.59430555557</v>
      </c>
      <c r="H8" s="15">
        <f t="shared" si="0"/>
        <v>38993.824374999997</v>
      </c>
      <c r="I8" s="15">
        <f t="shared" si="0"/>
        <v>38993.824374999997</v>
      </c>
      <c r="J8" s="15">
        <f t="shared" si="0"/>
        <v>4801.6818798225304</v>
      </c>
      <c r="K8" s="15">
        <f t="shared" si="0"/>
        <v>4801.6818798225304</v>
      </c>
      <c r="L8" s="15">
        <f t="shared" si="0"/>
        <v>529.48986625514408</v>
      </c>
      <c r="M8" s="15">
        <f t="shared" si="0"/>
        <v>529.48986625514408</v>
      </c>
      <c r="N8" s="15">
        <f t="shared" si="0"/>
        <v>54.903297988200883</v>
      </c>
      <c r="O8" s="190">
        <f>+B8</f>
        <v>253964.7</v>
      </c>
      <c r="P8" s="189">
        <f>((C7+O8)+2*(SUM(D8:N8)))/24</f>
        <v>110929.81756816013</v>
      </c>
    </row>
    <row r="9" spans="1:16" x14ac:dyDescent="0.3"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88"/>
    </row>
    <row r="10" spans="1:16" x14ac:dyDescent="0.3">
      <c r="A10" s="5" t="s">
        <v>214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88"/>
    </row>
    <row r="11" spans="1:16" x14ac:dyDescent="0.3">
      <c r="A11" s="36">
        <v>2017</v>
      </c>
      <c r="B11" s="34">
        <v>37658972.479999997</v>
      </c>
      <c r="C11" s="34">
        <v>37658972.479999997</v>
      </c>
      <c r="D11" s="34">
        <v>35040283.009166665</v>
      </c>
      <c r="E11" s="34">
        <v>35278345.688333333</v>
      </c>
      <c r="F11" s="34">
        <v>35516408.3675</v>
      </c>
      <c r="G11" s="34">
        <v>35754471.046666667</v>
      </c>
      <c r="H11" s="34">
        <v>35992533.725833334</v>
      </c>
      <c r="I11" s="34">
        <v>36230596.405000001</v>
      </c>
      <c r="J11" s="34">
        <v>36468659.084166661</v>
      </c>
      <c r="K11" s="34">
        <v>36706721.763333328</v>
      </c>
      <c r="L11" s="34">
        <v>36944784.442499995</v>
      </c>
      <c r="M11" s="6">
        <v>37182847.121666662</v>
      </c>
      <c r="N11" s="34">
        <v>37420909.80083333</v>
      </c>
      <c r="O11" s="34">
        <v>37658972.479999997</v>
      </c>
      <c r="P11" s="34">
        <v>36230596.405000001</v>
      </c>
    </row>
    <row r="12" spans="1:16" x14ac:dyDescent="0.3">
      <c r="A12" s="36">
        <v>2018</v>
      </c>
      <c r="B12" s="34">
        <v>37669468.93</v>
      </c>
      <c r="C12" s="34">
        <f t="shared" ref="C12" si="1">B12</f>
        <v>37669468.93</v>
      </c>
      <c r="D12" s="34">
        <f t="shared" ref="D12" si="2">(B12-B11)/12*1+B11</f>
        <v>37659847.184166662</v>
      </c>
      <c r="E12" s="34">
        <f t="shared" ref="E12" si="3">(B12-B11)/12*2+B11</f>
        <v>37660721.888333328</v>
      </c>
      <c r="F12" s="34">
        <f t="shared" ref="F12" si="4">(B12-B11)/12*3+B11</f>
        <v>37661596.592500001</v>
      </c>
      <c r="G12" s="34">
        <f t="shared" ref="G12" si="5">(B12-B11)/12*4+B11</f>
        <v>37662471.296666667</v>
      </c>
      <c r="H12" s="34">
        <f t="shared" ref="H12" si="6">(B12-B11)/12*5+B11</f>
        <v>37663346.000833333</v>
      </c>
      <c r="I12" s="34">
        <f t="shared" ref="I12" si="7">(B12-B11)/12*6+B11</f>
        <v>37664220.704999998</v>
      </c>
      <c r="J12" s="34">
        <f t="shared" ref="J12" si="8">(B12-B11)/12*7+B11</f>
        <v>37665095.409166664</v>
      </c>
      <c r="K12" s="34">
        <f t="shared" ref="K12" si="9">(B12-B11)/12*8+B11</f>
        <v>37665970.11333333</v>
      </c>
      <c r="L12" s="34">
        <f t="shared" ref="L12" si="10">(B12-B11)/12*9+B11</f>
        <v>37666844.817499995</v>
      </c>
      <c r="M12" s="6">
        <f t="shared" ref="M12" si="11">(B12-B11)/12*10+B11</f>
        <v>37667719.521666668</v>
      </c>
      <c r="N12" s="34">
        <f t="shared" ref="N12" si="12">(B12-B11)/12*11+B11</f>
        <v>37668594.225833334</v>
      </c>
      <c r="O12" s="34">
        <f t="shared" ref="O12" si="13">+B12</f>
        <v>37669468.93</v>
      </c>
      <c r="P12" s="34">
        <f t="shared" ref="P12" si="14">((C11+O12)+2*(SUM(D12:N12)))/24</f>
        <v>37664220.704999991</v>
      </c>
    </row>
    <row r="13" spans="1:16" x14ac:dyDescent="0.3">
      <c r="C13" s="34"/>
      <c r="O13" s="34"/>
    </row>
    <row r="14" spans="1:16" x14ac:dyDescent="0.3">
      <c r="A14" s="5" t="s">
        <v>213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88"/>
    </row>
    <row r="15" spans="1:16" x14ac:dyDescent="0.3">
      <c r="A15" s="36">
        <v>2017</v>
      </c>
      <c r="B15" s="34">
        <v>52293262.030000001</v>
      </c>
      <c r="C15" s="34">
        <v>52293262.030000001</v>
      </c>
      <c r="D15" s="34">
        <v>52944056.560833335</v>
      </c>
      <c r="E15" s="34">
        <v>52884893.421666667</v>
      </c>
      <c r="F15" s="34">
        <v>52825730.282499999</v>
      </c>
      <c r="G15" s="34">
        <v>52766567.143333338</v>
      </c>
      <c r="H15" s="34">
        <v>52707404.00416667</v>
      </c>
      <c r="I15" s="34">
        <v>52648240.865000002</v>
      </c>
      <c r="J15" s="34">
        <v>52589077.725833334</v>
      </c>
      <c r="K15" s="34">
        <v>52529914.586666666</v>
      </c>
      <c r="L15" s="34">
        <v>52470751.447500005</v>
      </c>
      <c r="M15" s="34">
        <v>52411588.308333337</v>
      </c>
      <c r="N15" s="34">
        <v>52352425.169166669</v>
      </c>
      <c r="O15" s="34">
        <v>52293262.030000001</v>
      </c>
      <c r="P15" s="34">
        <v>52648240.865000002</v>
      </c>
    </row>
    <row r="16" spans="1:16" x14ac:dyDescent="0.3">
      <c r="A16" s="36">
        <v>2018</v>
      </c>
      <c r="B16" s="34">
        <v>44808328.079999998</v>
      </c>
      <c r="C16" s="34">
        <f t="shared" ref="C16" si="15">B16</f>
        <v>44808328.079999998</v>
      </c>
      <c r="D16" s="34">
        <f t="shared" ref="D16" si="16">(B16-B15)/12*1+B15</f>
        <v>51669517.534166664</v>
      </c>
      <c r="E16" s="34">
        <f t="shared" ref="E16" si="17">(B16-B15)/12*2+B15</f>
        <v>51045773.038333334</v>
      </c>
      <c r="F16" s="34">
        <f t="shared" ref="F16" si="18">(B16-B15)/12*3+B15</f>
        <v>50422028.542500004</v>
      </c>
      <c r="G16" s="34">
        <f t="shared" ref="G16" si="19">(B16-B15)/12*4+B15</f>
        <v>49798284.046666667</v>
      </c>
      <c r="H16" s="34">
        <f t="shared" ref="H16" si="20">(B16-B15)/12*5+B15</f>
        <v>49174539.55083333</v>
      </c>
      <c r="I16" s="34">
        <f t="shared" ref="I16" si="21">(B16-B15)/12*6+B15</f>
        <v>48550795.055</v>
      </c>
      <c r="J16" s="34">
        <f t="shared" ref="J16" si="22">(B16-B15)/12*7+B15</f>
        <v>47927050.55916667</v>
      </c>
      <c r="K16" s="34">
        <f t="shared" ref="K16" si="23">(B16-B15)/12*8+B15</f>
        <v>47303306.063333333</v>
      </c>
      <c r="L16" s="34">
        <f t="shared" ref="L16" si="24">(B16-B15)/12*9+B15</f>
        <v>46679561.567499995</v>
      </c>
      <c r="M16" s="34">
        <f t="shared" ref="M16" si="25">(B16-B15)/12*10+B15</f>
        <v>46055817.071666665</v>
      </c>
      <c r="N16" s="34">
        <f t="shared" ref="N16" si="26">(B16-B15)/12*11+B15</f>
        <v>45432072.575833336</v>
      </c>
      <c r="O16" s="34">
        <f t="shared" ref="O16" si="27">+B16</f>
        <v>44808328.079999998</v>
      </c>
      <c r="P16" s="34">
        <f t="shared" ref="P16" si="28">((C15+O16)+2*(SUM(D16:N16)))/24</f>
        <v>48550795.055</v>
      </c>
    </row>
    <row r="17" spans="1:16" ht="15" thickBot="1" x14ac:dyDescent="0.35">
      <c r="C17" s="34"/>
      <c r="O17" s="34"/>
    </row>
    <row r="18" spans="1:16" x14ac:dyDescent="0.3">
      <c r="A18" s="12" t="s">
        <v>212</v>
      </c>
      <c r="B18" s="11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3"/>
    </row>
    <row r="19" spans="1:16" x14ac:dyDescent="0.3">
      <c r="A19" s="194">
        <v>2017</v>
      </c>
      <c r="B19" s="9">
        <v>4807710.54</v>
      </c>
      <c r="C19" s="9">
        <v>4807710.54</v>
      </c>
      <c r="D19" s="9">
        <v>5298532.5383333331</v>
      </c>
      <c r="E19" s="9">
        <v>5253912.3566666665</v>
      </c>
      <c r="F19" s="9">
        <v>5209292.1749999998</v>
      </c>
      <c r="G19" s="9">
        <v>5164671.9933333332</v>
      </c>
      <c r="H19" s="9">
        <v>5120051.8116666665</v>
      </c>
      <c r="I19" s="9">
        <v>5075431.63</v>
      </c>
      <c r="J19" s="9">
        <v>5030811.4483333332</v>
      </c>
      <c r="K19" s="9">
        <v>4986191.2666666666</v>
      </c>
      <c r="L19" s="9">
        <v>4941571.085</v>
      </c>
      <c r="M19" s="9">
        <v>4896950.9033333333</v>
      </c>
      <c r="N19" s="9">
        <v>4852330.7216666667</v>
      </c>
      <c r="O19" s="9">
        <v>4807710.54</v>
      </c>
      <c r="P19" s="8">
        <v>5075431.63</v>
      </c>
    </row>
    <row r="20" spans="1:16" x14ac:dyDescent="0.3">
      <c r="A20" s="194">
        <v>2018</v>
      </c>
      <c r="B20" s="9">
        <v>4391221.1900000004</v>
      </c>
      <c r="C20" s="9">
        <f t="shared" ref="C20" si="29">B20</f>
        <v>4391221.1900000004</v>
      </c>
      <c r="D20" s="9">
        <f t="shared" ref="D20" si="30">(B20-B19)/12*1+B19</f>
        <v>4773003.0941666663</v>
      </c>
      <c r="E20" s="10">
        <f t="shared" ref="E20" si="31">(B20-B19)/12*2+B19</f>
        <v>4738295.6483333334</v>
      </c>
      <c r="F20" s="9">
        <f t="shared" ref="F20" si="32">(B20-B19)/12*3+B19</f>
        <v>4703588.2025000006</v>
      </c>
      <c r="G20" s="9">
        <f t="shared" ref="G20" si="33">(B20-B19)/12*4+B19</f>
        <v>4668880.7566666668</v>
      </c>
      <c r="H20" s="9">
        <f t="shared" ref="H20" si="34">(B20-B19)/12*5+B19</f>
        <v>4634173.3108333331</v>
      </c>
      <c r="I20" s="9">
        <f t="shared" ref="I20" si="35">(B20-B19)/12*6+B19</f>
        <v>4599465.8650000002</v>
      </c>
      <c r="J20" s="9">
        <f t="shared" ref="J20" si="36">(B20-B19)/12*7+B19</f>
        <v>4564758.4191666674</v>
      </c>
      <c r="K20" s="9">
        <f t="shared" ref="K20" si="37">(B20-B19)/12*8+B19</f>
        <v>4530050.9733333336</v>
      </c>
      <c r="L20" s="9">
        <f t="shared" ref="L20" si="38">(B20-B19)/12*9+B19</f>
        <v>4495343.5274999999</v>
      </c>
      <c r="M20" s="9">
        <f t="shared" ref="M20" si="39">(B20-B19)/12*10+B19</f>
        <v>4460636.081666667</v>
      </c>
      <c r="N20" s="9">
        <f t="shared" ref="N20" si="40">(B20-B19)/12*11+B19</f>
        <v>4425928.6358333342</v>
      </c>
      <c r="O20" s="9">
        <f t="shared" ref="O20" si="41">+B20</f>
        <v>4391221.1900000004</v>
      </c>
      <c r="P20" s="8">
        <f t="shared" ref="P20" si="42">((C19+O20)+2*(SUM(D20:N20)))/24</f>
        <v>4599465.8650000012</v>
      </c>
    </row>
    <row r="21" spans="1:16" ht="15" thickBot="1" x14ac:dyDescent="0.35">
      <c r="A21" s="195"/>
      <c r="B21" s="7"/>
      <c r="C21" s="7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7"/>
      <c r="P21" s="197"/>
    </row>
    <row r="22" spans="1:16" x14ac:dyDescent="0.3">
      <c r="A22" s="5" t="s">
        <v>211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88"/>
    </row>
    <row r="23" spans="1:16" x14ac:dyDescent="0.3">
      <c r="A23" s="36">
        <v>2017</v>
      </c>
      <c r="B23" s="34">
        <v>160373.99</v>
      </c>
      <c r="C23" s="34">
        <v>160373.99</v>
      </c>
      <c r="D23" s="34">
        <v>161802.71583333335</v>
      </c>
      <c r="E23" s="34">
        <v>161672.83166666667</v>
      </c>
      <c r="F23" s="34">
        <v>161542.94750000001</v>
      </c>
      <c r="G23" s="6">
        <v>161413.06333333332</v>
      </c>
      <c r="H23" s="34">
        <v>161283.17916666667</v>
      </c>
      <c r="I23" s="34">
        <v>161153.29499999998</v>
      </c>
      <c r="J23" s="34">
        <v>161023.41083333333</v>
      </c>
      <c r="K23" s="34">
        <v>160893.52666666667</v>
      </c>
      <c r="L23" s="34">
        <v>160763.64249999999</v>
      </c>
      <c r="M23" s="34">
        <v>160633.75833333333</v>
      </c>
      <c r="N23" s="34">
        <v>160503.87416666665</v>
      </c>
      <c r="O23" s="34">
        <v>160373.99</v>
      </c>
      <c r="P23" s="34">
        <v>161153.29500000001</v>
      </c>
    </row>
    <row r="24" spans="1:16" x14ac:dyDescent="0.3">
      <c r="A24" s="36">
        <v>2018</v>
      </c>
      <c r="B24" s="34">
        <v>164680.12</v>
      </c>
      <c r="C24" s="34">
        <f t="shared" ref="C24" si="43">B24</f>
        <v>164680.12</v>
      </c>
      <c r="D24" s="34">
        <f t="shared" ref="D24" si="44">(B24-B23)/12*1+B23</f>
        <v>160732.83416666667</v>
      </c>
      <c r="E24" s="34">
        <f t="shared" ref="E24" si="45">(B24-B23)/12*2+B23</f>
        <v>161091.67833333332</v>
      </c>
      <c r="F24" s="34">
        <f t="shared" ref="F24" si="46">(B24-B23)/12*3+B23</f>
        <v>161450.52249999999</v>
      </c>
      <c r="G24" s="6">
        <f t="shared" ref="G24" si="47">(B24-B23)/12*4+B23</f>
        <v>161809.36666666667</v>
      </c>
      <c r="H24" s="34">
        <f t="shared" ref="H24" si="48">(B24-B23)/12*5+B23</f>
        <v>162168.21083333332</v>
      </c>
      <c r="I24" s="34">
        <f t="shared" ref="I24" si="49">(B24-B23)/12*6+B23</f>
        <v>162527.05499999999</v>
      </c>
      <c r="J24" s="34">
        <f t="shared" ref="J24" si="50">(B24-B23)/12*7+B23</f>
        <v>162885.89916666667</v>
      </c>
      <c r="K24" s="34">
        <f t="shared" ref="K24" si="51">(B24-B23)/12*8+B23</f>
        <v>163244.74333333332</v>
      </c>
      <c r="L24" s="34">
        <f t="shared" ref="L24" si="52">(B24-B23)/12*9+B23</f>
        <v>163603.58749999999</v>
      </c>
      <c r="M24" s="34">
        <f t="shared" ref="M24" si="53">(B24-B23)/12*10+B23</f>
        <v>163962.43166666667</v>
      </c>
      <c r="N24" s="34">
        <f t="shared" ref="N24" si="54">(B24-B23)/12*11+B23</f>
        <v>164321.27583333332</v>
      </c>
      <c r="O24" s="34">
        <f t="shared" ref="O24:O25" si="55">+B24</f>
        <v>164680.12</v>
      </c>
      <c r="P24" s="34">
        <f t="shared" ref="P24" si="56">((C23+O24)+2*(SUM(D24:N24)))/24</f>
        <v>162527.05499999999</v>
      </c>
    </row>
    <row r="25" spans="1:16" x14ac:dyDescent="0.3">
      <c r="C25" s="34"/>
      <c r="O25" s="34">
        <f t="shared" si="55"/>
        <v>0</v>
      </c>
    </row>
    <row r="26" spans="1:16" x14ac:dyDescent="0.3">
      <c r="A26" s="5" t="s">
        <v>210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88"/>
    </row>
    <row r="27" spans="1:16" x14ac:dyDescent="0.3">
      <c r="A27" s="36">
        <v>2017</v>
      </c>
      <c r="B27" s="34">
        <v>13337077.32</v>
      </c>
      <c r="C27" s="2">
        <v>13337077.32</v>
      </c>
      <c r="D27" s="34">
        <v>13086591.223333333</v>
      </c>
      <c r="E27" s="34">
        <v>13109362.686666667</v>
      </c>
      <c r="F27" s="34">
        <v>13132134.15</v>
      </c>
      <c r="G27" s="34">
        <v>13154905.613333333</v>
      </c>
      <c r="H27" s="34">
        <v>13177677.076666666</v>
      </c>
      <c r="I27" s="34">
        <v>13200448.539999999</v>
      </c>
      <c r="J27" s="34">
        <v>13223220.003333334</v>
      </c>
      <c r="K27" s="34">
        <v>13245991.466666667</v>
      </c>
      <c r="L27" s="34">
        <v>13268762.93</v>
      </c>
      <c r="M27" s="34">
        <v>13291534.393333334</v>
      </c>
      <c r="N27" s="34">
        <v>13314305.856666667</v>
      </c>
      <c r="O27" s="2">
        <v>13337077.32</v>
      </c>
      <c r="P27" s="34">
        <v>13200448.539999999</v>
      </c>
    </row>
    <row r="28" spans="1:16" x14ac:dyDescent="0.3">
      <c r="A28" s="36">
        <v>2018</v>
      </c>
      <c r="B28" s="34">
        <v>12670794.310000001</v>
      </c>
      <c r="C28" s="2">
        <f t="shared" ref="C28" si="57">B28</f>
        <v>12670794.310000001</v>
      </c>
      <c r="D28" s="34">
        <f t="shared" ref="D28" si="58">(B28-B27)/12*1+B27</f>
        <v>13281553.735833334</v>
      </c>
      <c r="E28" s="34">
        <f t="shared" ref="E28" si="59">(B28-B27)/12*2+B27</f>
        <v>13226030.151666667</v>
      </c>
      <c r="F28" s="34">
        <f t="shared" ref="F28" si="60">(B28-B27)/12*3+B27</f>
        <v>13170506.567500001</v>
      </c>
      <c r="G28" s="34">
        <f t="shared" ref="G28" si="61">(B28-B27)/12*4+B27</f>
        <v>13114982.983333334</v>
      </c>
      <c r="H28" s="34">
        <f t="shared" ref="H28" si="62">(B28-B27)/12*5+B27</f>
        <v>13059459.399166668</v>
      </c>
      <c r="I28" s="34">
        <f t="shared" ref="I28" si="63">(B28-B27)/12*6+B27</f>
        <v>13003935.815000001</v>
      </c>
      <c r="J28" s="34">
        <f t="shared" ref="J28" si="64">(B28-B27)/12*7+B27</f>
        <v>12948412.230833333</v>
      </c>
      <c r="K28" s="34">
        <f t="shared" ref="K28" si="65">(B28-B27)/12*8+B27</f>
        <v>12892888.646666666</v>
      </c>
      <c r="L28" s="34">
        <f t="shared" ref="L28" si="66">(B28-B27)/12*9+B27</f>
        <v>12837365.0625</v>
      </c>
      <c r="M28" s="34">
        <f t="shared" ref="M28" si="67">(B28-B27)/12*10+B27</f>
        <v>12781841.478333334</v>
      </c>
      <c r="N28" s="34">
        <f t="shared" ref="N28" si="68">(B28-B27)/12*11+B27</f>
        <v>12726317.894166667</v>
      </c>
      <c r="O28" s="2">
        <f t="shared" ref="O28" si="69">+B28</f>
        <v>12670794.310000001</v>
      </c>
      <c r="P28" s="34">
        <f t="shared" ref="P28" si="70">((C27+O28)+2*(SUM(D28:N28)))/24</f>
        <v>13003935.814999999</v>
      </c>
    </row>
    <row r="29" spans="1:16" x14ac:dyDescent="0.3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3">
      <c r="A30" s="5" t="s">
        <v>83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36">
        <v>2017</v>
      </c>
      <c r="B31" s="34">
        <v>9356134.3499999996</v>
      </c>
      <c r="C31" s="34">
        <v>9356134.3499999996</v>
      </c>
      <c r="D31" s="34">
        <v>6313210.9683333337</v>
      </c>
      <c r="E31" s="34">
        <v>6589840.3666666672</v>
      </c>
      <c r="F31" s="34">
        <v>6866469.7650000006</v>
      </c>
      <c r="G31" s="34">
        <v>7143099.1633333331</v>
      </c>
      <c r="H31" s="34">
        <v>7419728.5616666665</v>
      </c>
      <c r="I31" s="34">
        <v>7696357.96</v>
      </c>
      <c r="J31" s="34">
        <v>7972987.3583333334</v>
      </c>
      <c r="K31" s="34">
        <v>8249616.7566666659</v>
      </c>
      <c r="L31" s="34">
        <v>8526246.1549999993</v>
      </c>
      <c r="M31" s="34">
        <v>8802875.5533333328</v>
      </c>
      <c r="N31" s="34">
        <v>9079504.9516666662</v>
      </c>
      <c r="O31" s="34">
        <v>9356134.3499999996</v>
      </c>
      <c r="P31" s="34">
        <v>7696357.96</v>
      </c>
    </row>
    <row r="32" spans="1:16" x14ac:dyDescent="0.3">
      <c r="A32" s="36">
        <v>2018</v>
      </c>
      <c r="B32" s="34">
        <v>9790763.9100000001</v>
      </c>
      <c r="C32" s="34">
        <f t="shared" ref="C32" si="71">B32</f>
        <v>9790763.9100000001</v>
      </c>
      <c r="D32" s="34">
        <f t="shared" ref="D32" si="72">(B32-B31)/12*1+B31</f>
        <v>9392353.4800000004</v>
      </c>
      <c r="E32" s="34">
        <f t="shared" ref="E32" si="73">(B32-B31)/12*2+B31</f>
        <v>9428572.6099999994</v>
      </c>
      <c r="F32" s="34">
        <f t="shared" ref="F32" si="74">(B32-B31)/12*3+B31</f>
        <v>9464791.7400000002</v>
      </c>
      <c r="G32" s="34">
        <f t="shared" ref="G32" si="75">(B32-B31)/12*4+B31</f>
        <v>9501010.8699999992</v>
      </c>
      <c r="H32" s="34">
        <f t="shared" ref="H32" si="76">(B32-B31)/12*5+B31</f>
        <v>9537230</v>
      </c>
      <c r="I32" s="34">
        <f t="shared" ref="I32" si="77">(B32-B31)/12*6+B31</f>
        <v>9573449.129999999</v>
      </c>
      <c r="J32" s="34">
        <f t="shared" ref="J32" si="78">(B32-B31)/12*7+B31</f>
        <v>9609668.2599999998</v>
      </c>
      <c r="K32" s="34">
        <f t="shared" ref="K32" si="79">(B32-B31)/12*8+B31</f>
        <v>9645887.3900000006</v>
      </c>
      <c r="L32" s="34">
        <f t="shared" ref="L32" si="80">(B32-B31)/12*9+B31</f>
        <v>9682106.5199999996</v>
      </c>
      <c r="M32" s="34">
        <f t="shared" ref="M32" si="81">(B32-B31)/12*10+B31</f>
        <v>9718325.6500000004</v>
      </c>
      <c r="N32" s="34">
        <f t="shared" ref="N32" si="82">(B32-B31)/12*11+B31</f>
        <v>9754544.7799999993</v>
      </c>
      <c r="O32" s="34">
        <f t="shared" ref="O32" si="83">+B32</f>
        <v>9790763.9100000001</v>
      </c>
      <c r="P32" s="34">
        <f t="shared" ref="P32" si="84">((C31+O32)+2*(SUM(D32:N32)))/24</f>
        <v>9573449.129999999</v>
      </c>
    </row>
    <row r="33" spans="1:16" x14ac:dyDescent="0.3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 t="s">
        <v>209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88"/>
    </row>
    <row r="35" spans="1:16" x14ac:dyDescent="0.3">
      <c r="A35" s="36">
        <v>2017</v>
      </c>
      <c r="B35" s="34">
        <v>7376104.5899999999</v>
      </c>
      <c r="C35" s="34">
        <v>7376104.5899999999</v>
      </c>
      <c r="D35" s="34">
        <v>7996123.5958333332</v>
      </c>
      <c r="E35" s="34">
        <v>7939758.2316666665</v>
      </c>
      <c r="F35" s="34">
        <v>7883392.8674999997</v>
      </c>
      <c r="G35" s="34">
        <v>7827027.5033333329</v>
      </c>
      <c r="H35" s="34">
        <v>7770662.1391666662</v>
      </c>
      <c r="I35" s="34">
        <v>7714296.7750000004</v>
      </c>
      <c r="J35" s="34">
        <v>7657931.4108333336</v>
      </c>
      <c r="K35" s="34">
        <v>7601566.0466666669</v>
      </c>
      <c r="L35" s="34">
        <v>7545200.6825000001</v>
      </c>
      <c r="M35" s="34">
        <v>7488835.3183333334</v>
      </c>
      <c r="N35" s="34">
        <v>7432469.9541666666</v>
      </c>
      <c r="O35" s="34">
        <v>7376104.5899999999</v>
      </c>
      <c r="P35" s="34">
        <v>7714296.7749999994</v>
      </c>
    </row>
    <row r="36" spans="1:16" x14ac:dyDescent="0.3">
      <c r="A36" s="36">
        <v>2018</v>
      </c>
      <c r="B36" s="34">
        <v>6347047.6200000001</v>
      </c>
      <c r="C36" s="34">
        <f t="shared" ref="C36" si="85">B36</f>
        <v>6347047.6200000001</v>
      </c>
      <c r="D36" s="34">
        <f t="shared" ref="D36" si="86">(B36-B35)/12*1+B35</f>
        <v>7290349.8425000003</v>
      </c>
      <c r="E36" s="34">
        <f t="shared" ref="E36" si="87">(B36-B35)/12*2+B35</f>
        <v>7204595.0949999997</v>
      </c>
      <c r="F36" s="34">
        <f t="shared" ref="F36" si="88">(B36-B35)/12*3+B35</f>
        <v>7118840.3475000001</v>
      </c>
      <c r="G36" s="34">
        <f t="shared" ref="G36" si="89">(B36-B35)/12*4+B35</f>
        <v>7033085.5999999996</v>
      </c>
      <c r="H36" s="34">
        <f t="shared" ref="H36" si="90">(B36-B35)/12*5+B35</f>
        <v>6947330.8525</v>
      </c>
      <c r="I36" s="34">
        <f t="shared" ref="I36" si="91">(B36-B35)/12*6+B35</f>
        <v>6861576.1050000004</v>
      </c>
      <c r="J36" s="34">
        <f t="shared" ref="J36" si="92">(B36-B35)/12*7+B35</f>
        <v>6775821.3574999999</v>
      </c>
      <c r="K36" s="34">
        <f t="shared" ref="K36" si="93">(B36-B35)/12*8+B35</f>
        <v>6690066.6100000003</v>
      </c>
      <c r="L36" s="34">
        <f t="shared" ref="L36" si="94">(B36-B35)/12*9+B35</f>
        <v>6604311.8624999998</v>
      </c>
      <c r="M36" s="34">
        <f t="shared" ref="M36" si="95">(B36-B35)/12*10+B35</f>
        <v>6518557.1150000002</v>
      </c>
      <c r="N36" s="34">
        <f t="shared" ref="N36" si="96">(B36-B35)/12*11+B35</f>
        <v>6432802.3674999997</v>
      </c>
      <c r="O36" s="34">
        <f t="shared" ref="O36:O37" si="97">+B36</f>
        <v>6347047.6200000001</v>
      </c>
      <c r="P36" s="34">
        <f t="shared" ref="P36" si="98">((C35+O36)+2*(SUM(D36:N36)))/24</f>
        <v>6861576.1050000004</v>
      </c>
    </row>
    <row r="37" spans="1:16" x14ac:dyDescent="0.3">
      <c r="C37" s="34"/>
      <c r="O37" s="34">
        <f t="shared" si="97"/>
        <v>0</v>
      </c>
    </row>
    <row r="38" spans="1:16" x14ac:dyDescent="0.3">
      <c r="A38" s="5" t="s">
        <v>208</v>
      </c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88"/>
    </row>
    <row r="39" spans="1:16" x14ac:dyDescent="0.3">
      <c r="A39" s="36">
        <v>2017</v>
      </c>
      <c r="B39" s="34">
        <v>1622858.14</v>
      </c>
      <c r="C39" s="34">
        <v>1622858.14</v>
      </c>
      <c r="D39" s="34">
        <v>1807579.2974999999</v>
      </c>
      <c r="E39" s="34">
        <v>1790786.4649999999</v>
      </c>
      <c r="F39" s="34">
        <v>1773993.6324999998</v>
      </c>
      <c r="G39" s="34">
        <v>1757200.7999999998</v>
      </c>
      <c r="H39" s="34">
        <v>1740407.9674999998</v>
      </c>
      <c r="I39" s="34">
        <v>1723615.1349999998</v>
      </c>
      <c r="J39" s="34">
        <v>1706822.3025</v>
      </c>
      <c r="K39" s="34">
        <v>1690029.47</v>
      </c>
      <c r="L39" s="34">
        <v>1673236.6375</v>
      </c>
      <c r="M39" s="34">
        <v>1656443.8049999999</v>
      </c>
      <c r="N39" s="34">
        <v>1639650.9724999999</v>
      </c>
      <c r="O39" s="34">
        <v>1622858.14</v>
      </c>
      <c r="P39" s="34">
        <v>1723615.1349999998</v>
      </c>
    </row>
    <row r="40" spans="1:16" x14ac:dyDescent="0.3">
      <c r="A40" s="36">
        <v>2018</v>
      </c>
      <c r="B40" s="34">
        <v>1488572.14</v>
      </c>
      <c r="C40" s="34">
        <f t="shared" ref="C40" si="99">B40</f>
        <v>1488572.14</v>
      </c>
      <c r="D40" s="34">
        <f t="shared" ref="D40" si="100">(B40-B39)/12*1+B39</f>
        <v>1611667.64</v>
      </c>
      <c r="E40" s="34">
        <f t="shared" ref="E40" si="101">(B40-B39)/12*2+B39</f>
        <v>1600477.14</v>
      </c>
      <c r="F40" s="34">
        <f t="shared" ref="F40" si="102">(B40-B39)/12*3+B39</f>
        <v>1589286.64</v>
      </c>
      <c r="G40" s="34">
        <f t="shared" ref="G40" si="103">(B40-B39)/12*4+B39</f>
        <v>1578096.14</v>
      </c>
      <c r="H40" s="34">
        <f t="shared" ref="H40" si="104">(B40-B39)/12*5+B39</f>
        <v>1566905.64</v>
      </c>
      <c r="I40" s="34">
        <f t="shared" ref="I40" si="105">(B40-B39)/12*6+B39</f>
        <v>1555715.14</v>
      </c>
      <c r="J40" s="34">
        <f t="shared" ref="J40" si="106">(B40-B39)/12*7+B39</f>
        <v>1544524.64</v>
      </c>
      <c r="K40" s="34">
        <f t="shared" ref="K40" si="107">(B40-B39)/12*8+B39</f>
        <v>1533334.14</v>
      </c>
      <c r="L40" s="34">
        <f t="shared" ref="L40" si="108">(B40-B39)/12*9+B39</f>
        <v>1522143.64</v>
      </c>
      <c r="M40" s="34">
        <f t="shared" ref="M40" si="109">(B40-B39)/12*10+B39</f>
        <v>1510953.14</v>
      </c>
      <c r="N40" s="34">
        <f t="shared" ref="N40" si="110">(B40-B39)/12*11+B39</f>
        <v>1499762.64</v>
      </c>
      <c r="O40" s="34">
        <f t="shared" ref="O40" si="111">+B40</f>
        <v>1488572.14</v>
      </c>
      <c r="P40" s="34">
        <f t="shared" ref="P40" si="112">((C39+O40)+2*(SUM(D40:N40)))/24</f>
        <v>1555715.1400000004</v>
      </c>
    </row>
    <row r="41" spans="1:16" x14ac:dyDescent="0.3">
      <c r="C41" s="34"/>
      <c r="O41" s="34"/>
    </row>
    <row r="42" spans="1:16" x14ac:dyDescent="0.3">
      <c r="A42" s="5" t="s">
        <v>207</v>
      </c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88"/>
    </row>
    <row r="43" spans="1:16" x14ac:dyDescent="0.3">
      <c r="A43" s="36">
        <v>2017</v>
      </c>
      <c r="B43" s="34">
        <v>12234067.039999999</v>
      </c>
      <c r="C43" s="34">
        <v>12234067.039999999</v>
      </c>
      <c r="D43" s="34">
        <v>9857204.1724999994</v>
      </c>
      <c r="E43" s="34">
        <v>10073282.615</v>
      </c>
      <c r="F43" s="34">
        <v>10289361.057500001</v>
      </c>
      <c r="G43" s="34">
        <v>10505439.5</v>
      </c>
      <c r="H43" s="34">
        <v>10721517.942499999</v>
      </c>
      <c r="I43" s="34">
        <v>10937596.385</v>
      </c>
      <c r="J43" s="34">
        <v>11153674.827500001</v>
      </c>
      <c r="K43" s="34">
        <v>11369753.27</v>
      </c>
      <c r="L43" s="34">
        <v>11585831.712499999</v>
      </c>
      <c r="M43" s="34">
        <v>11801910.154999999</v>
      </c>
      <c r="N43" s="34">
        <v>12017988.5975</v>
      </c>
      <c r="O43" s="34">
        <v>12234067.039999999</v>
      </c>
      <c r="P43" s="34">
        <v>10937596.385</v>
      </c>
    </row>
    <row r="44" spans="1:16" x14ac:dyDescent="0.3">
      <c r="A44" s="36">
        <v>2018</v>
      </c>
      <c r="B44" s="34">
        <v>11897791.710000001</v>
      </c>
      <c r="C44" s="34">
        <f t="shared" ref="C44" si="113">B44</f>
        <v>11897791.710000001</v>
      </c>
      <c r="D44" s="34">
        <f t="shared" ref="D44" si="114">(B44-B43)/12*1+B43</f>
        <v>12206044.095833333</v>
      </c>
      <c r="E44" s="34">
        <f t="shared" ref="E44" si="115">(B44-B43)/12*2+B43</f>
        <v>12178021.151666665</v>
      </c>
      <c r="F44" s="34">
        <f t="shared" ref="F44" si="116">(B44-B43)/12*3+B43</f>
        <v>12149998.2075</v>
      </c>
      <c r="G44" s="34">
        <f t="shared" ref="G44" si="117">(B44-B43)/12*4+B43</f>
        <v>12121975.263333334</v>
      </c>
      <c r="H44" s="34">
        <f t="shared" ref="H44" si="118">(B44-B43)/12*5+B43</f>
        <v>12093952.319166666</v>
      </c>
      <c r="I44" s="34">
        <f t="shared" ref="I44" si="119">(B44-B43)/12*6+B43</f>
        <v>12065929.375</v>
      </c>
      <c r="J44" s="34">
        <f t="shared" ref="J44" si="120">(B44-B43)/12*7+B43</f>
        <v>12037906.430833334</v>
      </c>
      <c r="K44" s="34">
        <f t="shared" ref="K44" si="121">(B44-B43)/12*8+B43</f>
        <v>12009883.486666666</v>
      </c>
      <c r="L44" s="34">
        <f t="shared" ref="L44" si="122">(B44-B43)/12*9+B43</f>
        <v>11981860.5425</v>
      </c>
      <c r="M44" s="34">
        <f t="shared" ref="M44" si="123">(B44-B43)/12*10+B43</f>
        <v>11953837.598333335</v>
      </c>
      <c r="N44" s="34">
        <f t="shared" ref="N44" si="124">(B44-B43)/12*11+B43</f>
        <v>11925814.654166667</v>
      </c>
      <c r="O44" s="34">
        <f t="shared" ref="O44" si="125">+B44</f>
        <v>11897791.710000001</v>
      </c>
      <c r="P44" s="34">
        <f t="shared" ref="P44" si="126">((C43+O44)+2*(SUM(D44:N44)))/24</f>
        <v>12065929.375</v>
      </c>
    </row>
    <row r="45" spans="1:16" x14ac:dyDescent="0.3">
      <c r="C45" s="34"/>
      <c r="O45" s="34"/>
    </row>
    <row r="46" spans="1:16" x14ac:dyDescent="0.3">
      <c r="A46" s="5" t="s">
        <v>206</v>
      </c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88"/>
    </row>
    <row r="47" spans="1:16" x14ac:dyDescent="0.3">
      <c r="A47" s="36">
        <v>2017</v>
      </c>
      <c r="B47" s="34">
        <v>17677359.579999998</v>
      </c>
      <c r="C47" s="34">
        <v>17677359.579999998</v>
      </c>
      <c r="D47" s="34">
        <v>17148229.183333334</v>
      </c>
      <c r="E47" s="34">
        <v>17196331.946666669</v>
      </c>
      <c r="F47" s="34">
        <v>17244434.710000001</v>
      </c>
      <c r="G47" s="34">
        <v>17292537.473333333</v>
      </c>
      <c r="H47" s="34">
        <v>17340640.236666668</v>
      </c>
      <c r="I47" s="34">
        <v>17388743</v>
      </c>
      <c r="J47" s="34">
        <v>17436845.763333332</v>
      </c>
      <c r="K47" s="34">
        <v>17484948.526666667</v>
      </c>
      <c r="L47" s="34">
        <v>17533051.289999999</v>
      </c>
      <c r="M47" s="34">
        <v>17581154.053333331</v>
      </c>
      <c r="N47" s="34">
        <v>17629256.816666666</v>
      </c>
      <c r="O47" s="34">
        <v>17677359.579999998</v>
      </c>
      <c r="P47" s="34">
        <v>17388743</v>
      </c>
    </row>
    <row r="48" spans="1:16" x14ac:dyDescent="0.3">
      <c r="A48" s="36">
        <v>2018</v>
      </c>
      <c r="B48" s="34">
        <v>16527636.51</v>
      </c>
      <c r="C48" s="34">
        <f t="shared" ref="C48" si="127">B48</f>
        <v>16527636.51</v>
      </c>
      <c r="D48" s="34">
        <f t="shared" ref="D48" si="128">(B48-B47)/12*1+B47</f>
        <v>17581549.324166667</v>
      </c>
      <c r="E48" s="34">
        <f t="shared" ref="E48" si="129">(B48-B47)/12*2+B47</f>
        <v>17485739.068333331</v>
      </c>
      <c r="F48" s="34">
        <f t="shared" ref="F48" si="130">(B48-B47)/12*3+B47</f>
        <v>17389928.8125</v>
      </c>
      <c r="G48" s="34">
        <f t="shared" ref="G48" si="131">(B48-B47)/12*4+B47</f>
        <v>17294118.556666665</v>
      </c>
      <c r="H48" s="34">
        <f t="shared" ref="H48" si="132">(B48-B47)/12*5+B47</f>
        <v>17198308.300833333</v>
      </c>
      <c r="I48" s="34">
        <f t="shared" ref="I48" si="133">(B48-B47)/12*6+B47</f>
        <v>17102498.044999998</v>
      </c>
      <c r="J48" s="34">
        <f t="shared" ref="J48" si="134">(B48-B47)/12*7+B47</f>
        <v>17006687.789166667</v>
      </c>
      <c r="K48" s="34">
        <f t="shared" ref="K48" si="135">(B48-B47)/12*8+B47</f>
        <v>16910877.533333331</v>
      </c>
      <c r="L48" s="34">
        <f t="shared" ref="L48" si="136">(B48-B47)/12*9+B47</f>
        <v>16815067.2775</v>
      </c>
      <c r="M48" s="34">
        <f t="shared" ref="M48" si="137">(B48-B47)/12*10+B47</f>
        <v>16719257.021666666</v>
      </c>
      <c r="N48" s="34">
        <f t="shared" ref="N48" si="138">(B48-B47)/12*11+B47</f>
        <v>16623446.765833333</v>
      </c>
      <c r="O48" s="34">
        <f t="shared" ref="O48" si="139">+B48</f>
        <v>16527636.51</v>
      </c>
      <c r="P48" s="34">
        <f t="shared" ref="P48" si="140">((C47+O48)+2*(SUM(D48:N48)))/24</f>
        <v>17102498.044999998</v>
      </c>
    </row>
    <row r="49" spans="1:16" x14ac:dyDescent="0.3">
      <c r="C49" s="34"/>
      <c r="O49" s="34" t="s">
        <v>195</v>
      </c>
    </row>
    <row r="50" spans="1:16" x14ac:dyDescent="0.3">
      <c r="A50" s="5" t="s">
        <v>205</v>
      </c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88"/>
    </row>
    <row r="51" spans="1:16" x14ac:dyDescent="0.3">
      <c r="A51" s="36">
        <v>2017</v>
      </c>
      <c r="B51" s="34">
        <v>31340349.719999999</v>
      </c>
      <c r="C51" s="34">
        <v>31340349.719999999</v>
      </c>
      <c r="D51" s="34">
        <v>32522120.126666669</v>
      </c>
      <c r="E51" s="34">
        <v>32414686.453333333</v>
      </c>
      <c r="F51" s="34">
        <v>32307252.780000001</v>
      </c>
      <c r="G51" s="34">
        <v>32199819.106666666</v>
      </c>
      <c r="H51" s="34">
        <v>32092385.433333334</v>
      </c>
      <c r="I51" s="34">
        <v>31984951.759999998</v>
      </c>
      <c r="J51" s="34">
        <v>31877518.086666666</v>
      </c>
      <c r="K51" s="34">
        <v>31770084.413333334</v>
      </c>
      <c r="L51" s="34">
        <v>31662650.739999998</v>
      </c>
      <c r="M51" s="34">
        <v>31555217.066666666</v>
      </c>
      <c r="N51" s="34">
        <v>31447783.393333331</v>
      </c>
      <c r="O51" s="34">
        <v>31340349.719999999</v>
      </c>
      <c r="P51" s="34">
        <v>31984951.759999994</v>
      </c>
    </row>
    <row r="52" spans="1:16" x14ac:dyDescent="0.3">
      <c r="A52" s="36">
        <v>2018</v>
      </c>
      <c r="B52" s="34">
        <v>29346805.27</v>
      </c>
      <c r="C52" s="34">
        <f t="shared" ref="C52" si="141">B52</f>
        <v>29346805.27</v>
      </c>
      <c r="D52" s="34">
        <f t="shared" ref="D52" si="142">(B52-B51)/12*1+B51</f>
        <v>31174221.015833333</v>
      </c>
      <c r="E52" s="34">
        <f t="shared" ref="E52" si="143">(B52-B51)/12*2+B51</f>
        <v>31008092.311666667</v>
      </c>
      <c r="F52" s="34">
        <f t="shared" ref="F52" si="144">(B52-B51)/12*3+B51</f>
        <v>30841963.607499998</v>
      </c>
      <c r="G52" s="34">
        <f t="shared" ref="G52" si="145">(B52-B51)/12*4+B51</f>
        <v>30675834.903333332</v>
      </c>
      <c r="H52" s="34">
        <f t="shared" ref="H52" si="146">(B52-B51)/12*5+B51</f>
        <v>30509706.199166667</v>
      </c>
      <c r="I52" s="34">
        <f t="shared" ref="I52" si="147">(B52-B51)/12*6+B51</f>
        <v>30343577.494999997</v>
      </c>
      <c r="J52" s="34">
        <f t="shared" ref="J52" si="148">(B52-B51)/12*7+B51</f>
        <v>30177448.790833332</v>
      </c>
      <c r="K52" s="34">
        <f t="shared" ref="K52" si="149">(B52-B51)/12*8+B51</f>
        <v>30011320.086666666</v>
      </c>
      <c r="L52" s="34">
        <f t="shared" ref="L52" si="150">(B52-B51)/12*9+B51</f>
        <v>29845191.3825</v>
      </c>
      <c r="M52" s="34">
        <f t="shared" ref="M52" si="151">(B52-B51)/12*10+B51</f>
        <v>29679062.678333335</v>
      </c>
      <c r="N52" s="34">
        <f t="shared" ref="N52" si="152">(B52-B51)/12*11+B51</f>
        <v>29512933.974166665</v>
      </c>
      <c r="O52" s="34">
        <f t="shared" ref="O52" si="153">+B52</f>
        <v>29346805.27</v>
      </c>
      <c r="P52" s="34">
        <f t="shared" ref="P52" si="154">((C51+O52)+2*(SUM(D52:N52)))/24</f>
        <v>30343577.495000005</v>
      </c>
    </row>
    <row r="53" spans="1:16" x14ac:dyDescent="0.3">
      <c r="C53" s="34"/>
      <c r="O53" s="34"/>
    </row>
    <row r="54" spans="1:16" x14ac:dyDescent="0.3">
      <c r="A54" s="5" t="s">
        <v>204</v>
      </c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88"/>
    </row>
    <row r="55" spans="1:16" x14ac:dyDescent="0.3">
      <c r="A55" s="36">
        <v>2017</v>
      </c>
      <c r="B55" s="34">
        <v>34863832.340000004</v>
      </c>
      <c r="C55" s="34">
        <v>34863832.340000004</v>
      </c>
      <c r="D55" s="34">
        <v>33425859.4025</v>
      </c>
      <c r="E55" s="34">
        <v>33556584.215000004</v>
      </c>
      <c r="F55" s="34">
        <v>33687309.027500004</v>
      </c>
      <c r="G55" s="34">
        <v>33818033.840000004</v>
      </c>
      <c r="H55" s="34">
        <v>33948758.652500004</v>
      </c>
      <c r="I55" s="34">
        <v>34079483.465000004</v>
      </c>
      <c r="J55" s="34">
        <v>34210208.277500004</v>
      </c>
      <c r="K55" s="34">
        <v>34340933.090000004</v>
      </c>
      <c r="L55" s="34">
        <v>34471657.902500004</v>
      </c>
      <c r="M55" s="34">
        <v>34602382.715000004</v>
      </c>
      <c r="N55" s="34">
        <v>34733107.527500004</v>
      </c>
      <c r="O55" s="34">
        <v>34863832.340000004</v>
      </c>
      <c r="P55" s="34">
        <v>34079483.465000011</v>
      </c>
    </row>
    <row r="56" spans="1:16" x14ac:dyDescent="0.3">
      <c r="A56" s="36">
        <v>2018</v>
      </c>
      <c r="B56" s="34">
        <f>18829152.24+16324348.87</f>
        <v>35153501.109999999</v>
      </c>
      <c r="C56" s="34">
        <f t="shared" ref="C56" si="155">B56</f>
        <v>35153501.109999999</v>
      </c>
      <c r="D56" s="34">
        <f t="shared" ref="D56" si="156">(B56-B55)/12*1+B55</f>
        <v>34887971.404166669</v>
      </c>
      <c r="E56" s="34">
        <f t="shared" ref="E56" si="157">(B56-B55)/12*2+B55</f>
        <v>34912110.468333334</v>
      </c>
      <c r="F56" s="34">
        <f t="shared" ref="F56" si="158">(B56-B55)/12*3+B55</f>
        <v>34936249.532499999</v>
      </c>
      <c r="G56" s="34">
        <f t="shared" ref="G56" si="159">(B56-B55)/12*4+B55</f>
        <v>34960388.596666671</v>
      </c>
      <c r="H56" s="34">
        <f t="shared" ref="H56" si="160">(B56-B55)/12*5+B55</f>
        <v>34984527.660833336</v>
      </c>
      <c r="I56" s="34">
        <f t="shared" ref="I56" si="161">(B56-B55)/12*6+B55</f>
        <v>35008666.725000001</v>
      </c>
      <c r="J56" s="34">
        <f t="shared" ref="J56" si="162">(B56-B55)/12*7+B55</f>
        <v>35032805.789166667</v>
      </c>
      <c r="K56" s="34">
        <f t="shared" ref="K56" si="163">(B56-B55)/12*8+B55</f>
        <v>35056944.853333332</v>
      </c>
      <c r="L56" s="34">
        <f t="shared" ref="L56" si="164">(B56-B55)/12*9+B55</f>
        <v>35081083.917500004</v>
      </c>
      <c r="M56" s="34">
        <f t="shared" ref="M56" si="165">(B56-B55)/12*10+B55</f>
        <v>35105222.981666669</v>
      </c>
      <c r="N56" s="34">
        <f t="shared" ref="N56" si="166">(B56-B55)/12*11+B55</f>
        <v>35129362.045833334</v>
      </c>
      <c r="O56" s="34">
        <f t="shared" ref="O56" si="167">+B56</f>
        <v>35153501.109999999</v>
      </c>
      <c r="P56" s="34">
        <f t="shared" ref="P56" si="168">((C55+O56)+2*(SUM(D56:N56)))/24</f>
        <v>35008666.725000001</v>
      </c>
    </row>
    <row r="58" spans="1:16" x14ac:dyDescent="0.3">
      <c r="A58" s="5" t="s">
        <v>203</v>
      </c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88"/>
    </row>
    <row r="59" spans="1:16" x14ac:dyDescent="0.3">
      <c r="A59" s="36">
        <v>2017</v>
      </c>
      <c r="B59" s="34">
        <v>132386422.01000001</v>
      </c>
      <c r="C59" s="34">
        <v>132386422.01000001</v>
      </c>
      <c r="D59" s="34">
        <v>134251291.40833333</v>
      </c>
      <c r="E59" s="34">
        <v>134081757.82666668</v>
      </c>
      <c r="F59" s="34">
        <v>133912224.245</v>
      </c>
      <c r="G59" s="34">
        <v>133742690.66333334</v>
      </c>
      <c r="H59" s="34">
        <v>133573157.08166668</v>
      </c>
      <c r="I59" s="34">
        <v>133403623.5</v>
      </c>
      <c r="J59" s="34">
        <v>133234089.91833334</v>
      </c>
      <c r="K59" s="34">
        <v>133064556.33666667</v>
      </c>
      <c r="L59" s="34">
        <v>132895022.75500001</v>
      </c>
      <c r="M59" s="34">
        <v>132725489.17333335</v>
      </c>
      <c r="N59" s="34">
        <v>132555955.59166667</v>
      </c>
      <c r="O59" s="34">
        <v>132386422.01000001</v>
      </c>
      <c r="P59" s="34">
        <v>133403623.50000001</v>
      </c>
    </row>
    <row r="60" spans="1:16" x14ac:dyDescent="0.3">
      <c r="A60" s="36">
        <v>2018</v>
      </c>
      <c r="B60" s="34">
        <v>124411152.44</v>
      </c>
      <c r="C60" s="34">
        <f t="shared" ref="C60" si="169">B60</f>
        <v>124411152.44</v>
      </c>
      <c r="D60" s="34">
        <f t="shared" ref="D60" si="170">(B60-B59)/12*1+B59</f>
        <v>131721816.21250001</v>
      </c>
      <c r="E60" s="34">
        <f t="shared" ref="E60" si="171">(B60-B59)/12*2+B59</f>
        <v>131057210.41500001</v>
      </c>
      <c r="F60" s="34">
        <f t="shared" ref="F60" si="172">(B60-B59)/12*3+B59</f>
        <v>130392604.61750001</v>
      </c>
      <c r="G60" s="34">
        <f t="shared" ref="G60" si="173">(B60-B59)/12*4+B59</f>
        <v>129727998.82000001</v>
      </c>
      <c r="H60" s="34">
        <f t="shared" ref="H60" si="174">(B60-B59)/12*5+B59</f>
        <v>129063393.02250001</v>
      </c>
      <c r="I60" s="34">
        <f t="shared" ref="I60" si="175">(B60-B59)/12*6+B59</f>
        <v>128398787.22499999</v>
      </c>
      <c r="J60" s="34">
        <f t="shared" ref="J60" si="176">(B60-B59)/12*7+B59</f>
        <v>127734181.42749999</v>
      </c>
      <c r="K60" s="34">
        <f t="shared" ref="K60" si="177">(B60-B59)/12*8+B59</f>
        <v>127069575.63</v>
      </c>
      <c r="L60" s="34">
        <f t="shared" ref="L60" si="178">(B60-B59)/12*9+B59</f>
        <v>126404969.8325</v>
      </c>
      <c r="M60" s="34">
        <f t="shared" ref="M60" si="179">(B60-B59)/12*10+B59</f>
        <v>125740364.035</v>
      </c>
      <c r="N60" s="34">
        <f t="shared" ref="N60" si="180">(B60-B59)/12*11+B59</f>
        <v>125075758.2375</v>
      </c>
      <c r="O60" s="34">
        <f t="shared" ref="O60" si="181">+B60</f>
        <v>124411152.44</v>
      </c>
      <c r="P60" s="34">
        <f t="shared" ref="P60" si="182">((C59+O60)+2*(SUM(D60:N60)))/24</f>
        <v>128398787.22500001</v>
      </c>
    </row>
    <row r="61" spans="1:16" x14ac:dyDescent="0.3">
      <c r="C61" s="34"/>
      <c r="O61" s="34"/>
    </row>
    <row r="62" spans="1:16" x14ac:dyDescent="0.3">
      <c r="A62" s="5" t="s">
        <v>202</v>
      </c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88"/>
    </row>
    <row r="63" spans="1:16" x14ac:dyDescent="0.3">
      <c r="A63" s="36">
        <v>2017</v>
      </c>
      <c r="B63" s="34">
        <v>32636792.030000001</v>
      </c>
      <c r="C63" s="34">
        <v>32636792.030000001</v>
      </c>
      <c r="D63" s="34">
        <v>26038290.642499998</v>
      </c>
      <c r="E63" s="34">
        <v>26638154.405000001</v>
      </c>
      <c r="F63" s="34">
        <v>27238018.1675</v>
      </c>
      <c r="G63" s="34">
        <v>27837881.93</v>
      </c>
      <c r="H63" s="34">
        <v>28437745.692499999</v>
      </c>
      <c r="I63" s="34">
        <v>29037609.454999998</v>
      </c>
      <c r="J63" s="34">
        <v>29637473.217500001</v>
      </c>
      <c r="K63" s="34">
        <v>30237336.98</v>
      </c>
      <c r="L63" s="34">
        <v>30837200.7425</v>
      </c>
      <c r="M63" s="34">
        <v>31437064.505000003</v>
      </c>
      <c r="N63" s="34">
        <v>32036928.267500002</v>
      </c>
      <c r="O63" s="34">
        <v>32636792.030000001</v>
      </c>
      <c r="P63" s="34">
        <v>29037609.454999998</v>
      </c>
    </row>
    <row r="64" spans="1:16" x14ac:dyDescent="0.3">
      <c r="A64" s="36">
        <v>2018</v>
      </c>
      <c r="B64" s="34">
        <v>33623638.159999996</v>
      </c>
      <c r="C64" s="34">
        <f t="shared" ref="C64" si="183">B64</f>
        <v>33623638.159999996</v>
      </c>
      <c r="D64" s="34">
        <f t="shared" ref="D64" si="184">(B64-B63)/12*1+B63</f>
        <v>32719029.2075</v>
      </c>
      <c r="E64" s="34">
        <f t="shared" ref="E64" si="185">(B64-B63)/12*2+B63</f>
        <v>32801266.385000002</v>
      </c>
      <c r="F64" s="34">
        <f t="shared" ref="F64" si="186">(B64-B63)/12*3+B63</f>
        <v>32883503.5625</v>
      </c>
      <c r="G64" s="34">
        <f t="shared" ref="G64" si="187">(B64-B63)/12*4+B63</f>
        <v>32965740.739999998</v>
      </c>
      <c r="H64" s="34">
        <f t="shared" ref="H64" si="188">(B64-B63)/12*5+B63</f>
        <v>33047977.9175</v>
      </c>
      <c r="I64" s="34">
        <f t="shared" ref="I64" si="189">(B64-B63)/12*6+B63</f>
        <v>33130215.094999999</v>
      </c>
      <c r="J64" s="34">
        <f t="shared" ref="J64" si="190">(B64-B63)/12*7+B63</f>
        <v>33212452.272499997</v>
      </c>
      <c r="K64" s="34">
        <f t="shared" ref="K64" si="191">(B64-B63)/12*8+B63</f>
        <v>33294689.449999999</v>
      </c>
      <c r="L64" s="34">
        <f t="shared" ref="L64" si="192">(B64-B63)/12*9+B63</f>
        <v>33376926.627499998</v>
      </c>
      <c r="M64" s="34">
        <f t="shared" ref="M64" si="193">(B64-B63)/12*10+B63</f>
        <v>33459163.804999996</v>
      </c>
      <c r="N64" s="34">
        <f t="shared" ref="N64" si="194">(B64-B63)/12*11+B63</f>
        <v>33541400.982499998</v>
      </c>
      <c r="O64" s="34">
        <f t="shared" ref="O64" si="195">+B64</f>
        <v>33623638.159999996</v>
      </c>
      <c r="P64" s="34">
        <f t="shared" ref="P64" si="196">((C63+O64)+2*(SUM(D64:N64)))/24</f>
        <v>33130215.094999999</v>
      </c>
    </row>
    <row r="66" spans="1:16" x14ac:dyDescent="0.3">
      <c r="A66" s="5" t="s">
        <v>201</v>
      </c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88"/>
    </row>
    <row r="67" spans="1:16" x14ac:dyDescent="0.3">
      <c r="A67" s="36">
        <v>2017</v>
      </c>
      <c r="B67" s="34">
        <v>51063261.869999997</v>
      </c>
      <c r="C67" s="34">
        <v>51063261.869999997</v>
      </c>
      <c r="D67" s="34">
        <v>50924425.177499995</v>
      </c>
      <c r="E67" s="34">
        <v>50937046.694999993</v>
      </c>
      <c r="F67" s="34">
        <v>50949668.212499999</v>
      </c>
      <c r="G67" s="34">
        <v>50962289.729999997</v>
      </c>
      <c r="H67" s="34">
        <v>50974911.247499995</v>
      </c>
      <c r="I67" s="34">
        <v>50987532.765000001</v>
      </c>
      <c r="J67" s="34">
        <v>51000154.282499999</v>
      </c>
      <c r="K67" s="34">
        <v>51012775.799999997</v>
      </c>
      <c r="L67" s="34">
        <v>51025397.317499995</v>
      </c>
      <c r="M67" s="34">
        <v>51038018.834999993</v>
      </c>
      <c r="N67" s="34">
        <v>51050640.352499999</v>
      </c>
      <c r="O67" s="34">
        <v>51063261.869999997</v>
      </c>
      <c r="P67" s="34">
        <v>50987532.764999993</v>
      </c>
    </row>
    <row r="68" spans="1:16" x14ac:dyDescent="0.3">
      <c r="A68" s="36">
        <v>2018</v>
      </c>
      <c r="B68" s="34">
        <v>50184080.369999997</v>
      </c>
      <c r="C68" s="34">
        <f t="shared" ref="C68:C69" si="197">B68</f>
        <v>50184080.369999997</v>
      </c>
      <c r="D68" s="34">
        <f t="shared" ref="D68" si="198">(B68-B67)/12*1+B67</f>
        <v>50989996.744999997</v>
      </c>
      <c r="E68" s="34">
        <f t="shared" ref="E68" si="199">(B68-B67)/12*2+B67</f>
        <v>50916731.619999997</v>
      </c>
      <c r="F68" s="34">
        <f t="shared" ref="F68" si="200">(B68-B67)/12*3+B67</f>
        <v>50843466.494999997</v>
      </c>
      <c r="G68" s="34">
        <f t="shared" ref="G68" si="201">(B68-B67)/12*4+B67</f>
        <v>50770201.369999997</v>
      </c>
      <c r="H68" s="34">
        <f t="shared" ref="H68" si="202">(B68-B67)/12*5+B67</f>
        <v>50696936.244999997</v>
      </c>
      <c r="I68" s="34">
        <f t="shared" ref="I68" si="203">(B68-B67)/12*6+B67</f>
        <v>50623671.119999997</v>
      </c>
      <c r="J68" s="34">
        <f t="shared" ref="J68" si="204">(B68-B67)/12*7+B67</f>
        <v>50550405.994999997</v>
      </c>
      <c r="K68" s="34">
        <f t="shared" ref="K68" si="205">(B68-B67)/12*8+B67</f>
        <v>50477140.869999997</v>
      </c>
      <c r="L68" s="34">
        <f t="shared" ref="L68" si="206">(B68-B67)/12*9+B67</f>
        <v>50403875.744999997</v>
      </c>
      <c r="M68" s="34">
        <f t="shared" ref="M68" si="207">(B68-B67)/12*10+B67</f>
        <v>50330610.619999997</v>
      </c>
      <c r="N68" s="34">
        <f t="shared" ref="N68" si="208">(B68-B67)/12*11+B67</f>
        <v>50257345.494999997</v>
      </c>
      <c r="O68" s="34">
        <f t="shared" ref="O68:O69" si="209">+B68</f>
        <v>50184080.369999997</v>
      </c>
      <c r="P68" s="34">
        <f t="shared" ref="P68" si="210">((C67+O68)+2*(SUM(D68:N68)))/24</f>
        <v>50623671.119999997</v>
      </c>
    </row>
    <row r="69" spans="1:16" x14ac:dyDescent="0.3">
      <c r="C69" s="34">
        <f t="shared" si="197"/>
        <v>0</v>
      </c>
      <c r="O69" s="34">
        <f t="shared" si="209"/>
        <v>0</v>
      </c>
    </row>
    <row r="70" spans="1:16" x14ac:dyDescent="0.3">
      <c r="A70" s="5" t="s">
        <v>200</v>
      </c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88"/>
    </row>
    <row r="71" spans="1:16" x14ac:dyDescent="0.3">
      <c r="A71" s="36">
        <v>2017</v>
      </c>
      <c r="B71" s="34">
        <v>873493.59</v>
      </c>
      <c r="C71" s="34">
        <v>873493.59</v>
      </c>
      <c r="D71" s="34">
        <v>931632.63249999995</v>
      </c>
      <c r="E71" s="34">
        <v>926347.26500000001</v>
      </c>
      <c r="F71" s="34">
        <v>921061.89749999996</v>
      </c>
      <c r="G71" s="34">
        <v>915776.53</v>
      </c>
      <c r="H71" s="34">
        <v>910491.16249999998</v>
      </c>
      <c r="I71" s="34">
        <v>905205.79499999993</v>
      </c>
      <c r="J71" s="34">
        <v>899920.42749999999</v>
      </c>
      <c r="K71" s="34">
        <v>894635.05999999994</v>
      </c>
      <c r="L71" s="34">
        <v>889349.6925</v>
      </c>
      <c r="M71" s="34">
        <v>884064.32499999995</v>
      </c>
      <c r="N71" s="34">
        <v>878778.95750000002</v>
      </c>
      <c r="O71" s="34">
        <v>873493.59</v>
      </c>
      <c r="P71" s="34">
        <v>905205.79499999993</v>
      </c>
    </row>
    <row r="72" spans="1:16" x14ac:dyDescent="0.3">
      <c r="A72" s="36">
        <v>2018</v>
      </c>
      <c r="B72" s="34">
        <v>803628.57</v>
      </c>
      <c r="C72" s="34">
        <f t="shared" ref="C72" si="211">B72</f>
        <v>803628.57</v>
      </c>
      <c r="D72" s="34">
        <f t="shared" ref="D72" si="212">(B72-B71)/12*1+B71</f>
        <v>867671.505</v>
      </c>
      <c r="E72" s="34">
        <f t="shared" ref="E72" si="213">(B72-B71)/12*2+B71</f>
        <v>861849.41999999993</v>
      </c>
      <c r="F72" s="34">
        <f t="shared" ref="F72" si="214">(B72-B71)/12*3+B71</f>
        <v>856027.33499999996</v>
      </c>
      <c r="G72" s="34">
        <f t="shared" ref="G72" si="215">(B72-B71)/12*4+B71</f>
        <v>850205.25</v>
      </c>
      <c r="H72" s="34">
        <f t="shared" ref="H72" si="216">(B72-B71)/12*5+B71</f>
        <v>844383.16499999992</v>
      </c>
      <c r="I72" s="34">
        <f t="shared" ref="I72" si="217">(B72-B71)/12*6+B71</f>
        <v>838561.08</v>
      </c>
      <c r="J72" s="34">
        <f t="shared" ref="J72" si="218">(B72-B71)/12*7+B71</f>
        <v>832738.995</v>
      </c>
      <c r="K72" s="34">
        <f t="shared" ref="K72" si="219">(B72-B71)/12*8+B71</f>
        <v>826916.90999999992</v>
      </c>
      <c r="L72" s="34">
        <f t="shared" ref="L72" si="220">(B72-B71)/12*9+B71</f>
        <v>821094.82499999995</v>
      </c>
      <c r="M72" s="34">
        <f t="shared" ref="M72" si="221">(B72-B71)/12*10+B71</f>
        <v>815272.74</v>
      </c>
      <c r="N72" s="34">
        <f t="shared" ref="N72" si="222">(B72-B71)/12*11+B71</f>
        <v>809450.65499999991</v>
      </c>
      <c r="O72" s="34">
        <f t="shared" ref="O72" si="223">+B72</f>
        <v>803628.57</v>
      </c>
      <c r="P72" s="34">
        <f t="shared" ref="P72" si="224">((C71+O72)+2*(SUM(D72:N72)))/24</f>
        <v>838561.08</v>
      </c>
    </row>
    <row r="73" spans="1:16" x14ac:dyDescent="0.3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3">
      <c r="A74" s="5" t="s">
        <v>199</v>
      </c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88"/>
    </row>
    <row r="75" spans="1:16" x14ac:dyDescent="0.3">
      <c r="A75" s="36">
        <v>2017</v>
      </c>
      <c r="B75" s="34">
        <v>3270114.54</v>
      </c>
      <c r="C75" s="34">
        <v>3270114.54</v>
      </c>
      <c r="D75" s="34">
        <v>2210888.8816666668</v>
      </c>
      <c r="E75" s="34">
        <v>2307182.1233333335</v>
      </c>
      <c r="F75" s="34">
        <v>2403475.3650000002</v>
      </c>
      <c r="G75" s="34">
        <v>2499768.6066666669</v>
      </c>
      <c r="H75" s="34">
        <v>2596061.8483333336</v>
      </c>
      <c r="I75" s="34">
        <v>2692355.09</v>
      </c>
      <c r="J75" s="34">
        <v>2788648.3316666665</v>
      </c>
      <c r="K75" s="34">
        <v>2884941.5733333332</v>
      </c>
      <c r="L75" s="34">
        <v>2981234.8149999999</v>
      </c>
      <c r="M75" s="34">
        <v>3077528.0566666666</v>
      </c>
      <c r="N75" s="34">
        <v>3173821.2983333333</v>
      </c>
      <c r="O75" s="34">
        <v>3270114.54</v>
      </c>
      <c r="P75" s="34">
        <v>2692355.0900000003</v>
      </c>
    </row>
    <row r="76" spans="1:16" x14ac:dyDescent="0.3">
      <c r="A76" s="36">
        <v>2018</v>
      </c>
      <c r="B76" s="34">
        <v>3384831.52</v>
      </c>
      <c r="C76" s="34">
        <f t="shared" ref="C76" si="225">B76</f>
        <v>3384831.52</v>
      </c>
      <c r="D76" s="34">
        <f t="shared" ref="D76" si="226">(B76-B75)/12*1+B75</f>
        <v>3279674.2883333336</v>
      </c>
      <c r="E76" s="34">
        <f t="shared" ref="E76" si="227">(B76-B75)/12*2+B75</f>
        <v>3289234.0366666666</v>
      </c>
      <c r="F76" s="34">
        <f t="shared" ref="F76" si="228">(B76-B75)/12*3+B75</f>
        <v>3298793.7850000001</v>
      </c>
      <c r="G76" s="34">
        <f t="shared" ref="G76" si="229">(B76-B75)/12*4+B75</f>
        <v>3308353.5333333332</v>
      </c>
      <c r="H76" s="34">
        <f t="shared" ref="H76" si="230">(B76-B75)/12*5+B75</f>
        <v>3317913.2816666667</v>
      </c>
      <c r="I76" s="34">
        <f t="shared" ref="I76" si="231">(B76-B75)/12*6+B75</f>
        <v>3327473.0300000003</v>
      </c>
      <c r="J76" s="34">
        <f t="shared" ref="J76" si="232">(B76-B75)/12*7+B75</f>
        <v>3337032.7783333333</v>
      </c>
      <c r="K76" s="34">
        <f t="shared" ref="K76" si="233">(B76-B75)/12*8+B75</f>
        <v>3346592.5266666668</v>
      </c>
      <c r="L76" s="34">
        <f t="shared" ref="L76" si="234">(B76-B75)/12*9+B75</f>
        <v>3356152.2749999999</v>
      </c>
      <c r="M76" s="34">
        <f t="shared" ref="M76" si="235">(B76-B75)/12*10+B75</f>
        <v>3365712.0233333334</v>
      </c>
      <c r="N76" s="34">
        <f t="shared" ref="N76" si="236">(B76-B75)/12*11+B75</f>
        <v>3375271.7716666665</v>
      </c>
      <c r="O76" s="34">
        <f t="shared" ref="O76" si="237">+B76</f>
        <v>3384831.52</v>
      </c>
      <c r="P76" s="34">
        <f t="shared" ref="P76" si="238">((C75+O76)+2*(SUM(D76:N76)))/24</f>
        <v>3327473.03</v>
      </c>
    </row>
    <row r="78" spans="1:16" x14ac:dyDescent="0.3">
      <c r="A78" s="5" t="s">
        <v>198</v>
      </c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88"/>
    </row>
    <row r="79" spans="1:16" x14ac:dyDescent="0.3">
      <c r="A79" s="36">
        <v>2017</v>
      </c>
      <c r="B79" s="34">
        <v>23338095.120000001</v>
      </c>
      <c r="C79" s="34">
        <v>23338095.120000001</v>
      </c>
      <c r="D79" s="34">
        <v>21771727.304166667</v>
      </c>
      <c r="E79" s="34">
        <v>21914124.378333334</v>
      </c>
      <c r="F79" s="34">
        <v>22056521.452500001</v>
      </c>
      <c r="G79" s="34">
        <v>22198918.526666667</v>
      </c>
      <c r="H79" s="34">
        <v>22341315.600833334</v>
      </c>
      <c r="I79" s="34">
        <v>22483712.675000001</v>
      </c>
      <c r="J79" s="34">
        <v>22626109.749166667</v>
      </c>
      <c r="K79" s="34">
        <v>22768506.823333334</v>
      </c>
      <c r="L79" s="34">
        <v>22910903.897500001</v>
      </c>
      <c r="M79" s="34">
        <v>23053300.971666668</v>
      </c>
      <c r="N79" s="34">
        <v>23195698.045833334</v>
      </c>
      <c r="O79" s="34">
        <v>23338095.120000001</v>
      </c>
      <c r="P79" s="34">
        <v>22483712.675000001</v>
      </c>
    </row>
    <row r="80" spans="1:16" x14ac:dyDescent="0.3">
      <c r="A80" s="36">
        <v>2018</v>
      </c>
      <c r="B80" s="34">
        <v>23837288.52</v>
      </c>
      <c r="C80" s="34">
        <f t="shared" ref="C80" si="239">B80</f>
        <v>23837288.52</v>
      </c>
      <c r="D80" s="34">
        <f t="shared" ref="D80" si="240">(B80-B79)/12*1+B79</f>
        <v>23379694.57</v>
      </c>
      <c r="E80" s="34">
        <f t="shared" ref="E80" si="241">(B80-B79)/12*2+B79</f>
        <v>23421294.02</v>
      </c>
      <c r="F80" s="34">
        <f t="shared" ref="F80" si="242">(B80-B79)/12*3+B79</f>
        <v>23462893.469999999</v>
      </c>
      <c r="G80" s="34">
        <f t="shared" ref="G80" si="243">(B80-B79)/12*4+B79</f>
        <v>23504492.920000002</v>
      </c>
      <c r="H80" s="34">
        <f t="shared" ref="H80" si="244">(B80-B79)/12*5+B79</f>
        <v>23546092.370000001</v>
      </c>
      <c r="I80" s="34">
        <f t="shared" ref="I80" si="245">(B80-B79)/12*6+B79</f>
        <v>23587691.82</v>
      </c>
      <c r="J80" s="34">
        <f t="shared" ref="J80" si="246">(B80-B79)/12*7+B79</f>
        <v>23629291.27</v>
      </c>
      <c r="K80" s="34">
        <f t="shared" ref="K80" si="247">(B80-B79)/12*8+B79</f>
        <v>23670890.719999999</v>
      </c>
      <c r="L80" s="34">
        <f t="shared" ref="L80" si="248">(B80-B79)/12*9+B79</f>
        <v>23712490.170000002</v>
      </c>
      <c r="M80" s="34">
        <f t="shared" ref="M80" si="249">(B80-B79)/12*10+B79</f>
        <v>23754089.620000001</v>
      </c>
      <c r="N80" s="34">
        <f t="shared" ref="N80" si="250">(B80-B79)/12*11+B79</f>
        <v>23795689.07</v>
      </c>
      <c r="O80" s="34">
        <f t="shared" ref="O80" si="251">+B80</f>
        <v>23837288.52</v>
      </c>
      <c r="P80" s="34">
        <f t="shared" ref="P80" si="252">((C79+O80)+2*(SUM(D80:N80)))/24</f>
        <v>23587691.820000004</v>
      </c>
    </row>
    <row r="81" spans="1:16" x14ac:dyDescent="0.3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3">
      <c r="A82" s="5" t="s">
        <v>197</v>
      </c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88"/>
    </row>
    <row r="83" spans="1:16" x14ac:dyDescent="0.3">
      <c r="A83" s="36">
        <v>2017</v>
      </c>
      <c r="B83" s="34">
        <v>-4812937.96</v>
      </c>
      <c r="C83" s="34">
        <v>-4812937.96</v>
      </c>
      <c r="D83" s="34">
        <v>-5402682.8300000001</v>
      </c>
      <c r="E83" s="34">
        <v>-5349069.66</v>
      </c>
      <c r="F83" s="34">
        <v>-5295456.49</v>
      </c>
      <c r="G83" s="34">
        <v>-5241843.32</v>
      </c>
      <c r="H83" s="34">
        <v>-5188230.1500000004</v>
      </c>
      <c r="I83" s="34">
        <v>-5134616.9800000004</v>
      </c>
      <c r="J83" s="34">
        <v>-5081003.8099999996</v>
      </c>
      <c r="K83" s="34">
        <v>-5027390.6399999997</v>
      </c>
      <c r="L83" s="34">
        <v>-4973777.47</v>
      </c>
      <c r="M83" s="34">
        <v>-4920164.3</v>
      </c>
      <c r="N83" s="34">
        <v>-4866551.13</v>
      </c>
      <c r="O83" s="34">
        <v>-4812937.96</v>
      </c>
      <c r="P83" s="34">
        <v>-5134616.9800000004</v>
      </c>
    </row>
    <row r="84" spans="1:16" x14ac:dyDescent="0.3">
      <c r="A84" s="36">
        <v>2018</v>
      </c>
      <c r="B84" s="34">
        <v>-3949215.76</v>
      </c>
      <c r="C84" s="34">
        <f t="shared" ref="C84" si="253">B84</f>
        <v>-3949215.76</v>
      </c>
      <c r="D84" s="34">
        <f t="shared" ref="D84" si="254">(B84-B83)/12*1+B83</f>
        <v>-4740961.1100000003</v>
      </c>
      <c r="E84" s="34">
        <f t="shared" ref="E84" si="255">(B84-B83)/12*2+B83</f>
        <v>-4668984.26</v>
      </c>
      <c r="F84" s="34">
        <f t="shared" ref="F84" si="256">(B84-B83)/12*3+B83</f>
        <v>-4597007.41</v>
      </c>
      <c r="G84" s="34">
        <f t="shared" ref="G84" si="257">(B84-B83)/12*4+B83</f>
        <v>-4525030.5599999996</v>
      </c>
      <c r="H84" s="34">
        <f t="shared" ref="H84" si="258">(B84-B83)/12*5+B83</f>
        <v>-4453053.71</v>
      </c>
      <c r="I84" s="34">
        <f t="shared" ref="I84" si="259">(B84-B83)/12*6+B83</f>
        <v>-4381076.8599999994</v>
      </c>
      <c r="J84" s="34">
        <f t="shared" ref="J84" si="260">(B84-B83)/12*7+B83</f>
        <v>-4309100.01</v>
      </c>
      <c r="K84" s="34">
        <f t="shared" ref="K84" si="261">(B84-B83)/12*8+B83</f>
        <v>-4237123.16</v>
      </c>
      <c r="L84" s="34">
        <f t="shared" ref="L84" si="262">(B84-B83)/12*9+B83</f>
        <v>-4165146.3099999996</v>
      </c>
      <c r="M84" s="34">
        <f t="shared" ref="M84" si="263">(B84-B83)/12*10+B83</f>
        <v>-4093169.46</v>
      </c>
      <c r="N84" s="34">
        <f t="shared" ref="N84" si="264">(B84-B83)/12*11+B83</f>
        <v>-4021192.61</v>
      </c>
      <c r="O84" s="34">
        <f t="shared" ref="O84" si="265">+B84</f>
        <v>-3949215.76</v>
      </c>
      <c r="P84" s="34">
        <f>((C83+O84)+2*(SUM(D84:N84)))/24</f>
        <v>-4381076.8600000003</v>
      </c>
    </row>
    <row r="85" spans="1:16" x14ac:dyDescent="0.3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</row>
    <row r="86" spans="1:16" x14ac:dyDescent="0.3">
      <c r="A86" s="5" t="s">
        <v>196</v>
      </c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88"/>
    </row>
    <row r="87" spans="1:16" x14ac:dyDescent="0.3">
      <c r="A87" s="36">
        <v>2017</v>
      </c>
      <c r="B87" s="34">
        <v>86157410.420000002</v>
      </c>
      <c r="C87" s="34">
        <v>86157410.420000002</v>
      </c>
      <c r="D87" s="34">
        <v>7179784.2016666671</v>
      </c>
      <c r="E87" s="34">
        <v>14359568.403333334</v>
      </c>
      <c r="F87" s="34">
        <v>21539352.605</v>
      </c>
      <c r="G87" s="34">
        <v>28719136.806666669</v>
      </c>
      <c r="H87" s="34">
        <v>35898921.008333333</v>
      </c>
      <c r="I87" s="34">
        <v>43078705.210000001</v>
      </c>
      <c r="J87" s="34">
        <v>50258489.411666669</v>
      </c>
      <c r="K87" s="34">
        <v>57438273.613333337</v>
      </c>
      <c r="L87" s="34">
        <v>64618057.815000005</v>
      </c>
      <c r="M87" s="34">
        <v>71797842.016666666</v>
      </c>
      <c r="N87" s="34">
        <v>78977626.218333334</v>
      </c>
      <c r="O87" s="34">
        <v>86157410.420000002</v>
      </c>
      <c r="P87" s="34">
        <v>43078705.210000001</v>
      </c>
    </row>
    <row r="88" spans="1:16" x14ac:dyDescent="0.3">
      <c r="A88" s="36">
        <v>2018</v>
      </c>
      <c r="B88" s="34">
        <v>81339765.549999997</v>
      </c>
      <c r="C88" s="34">
        <f t="shared" ref="C88" si="266">B88</f>
        <v>81339765.549999997</v>
      </c>
      <c r="D88" s="34">
        <f t="shared" ref="D88" si="267">(B88-B87)/12*1+B87</f>
        <v>85755940.014166668</v>
      </c>
      <c r="E88" s="34">
        <f t="shared" ref="E88" si="268">(B88-B87)/12*2+B87</f>
        <v>85354469.608333334</v>
      </c>
      <c r="F88" s="34">
        <f t="shared" ref="F88" si="269">(B88-B87)/12*3+B87</f>
        <v>84952999.202500001</v>
      </c>
      <c r="G88" s="34">
        <f t="shared" ref="G88" si="270">(B88-B87)/12*4+B87</f>
        <v>84551528.796666667</v>
      </c>
      <c r="H88" s="34">
        <f t="shared" ref="H88" si="271">(B88-B87)/12*5+B87</f>
        <v>84150058.390833333</v>
      </c>
      <c r="I88" s="34">
        <f t="shared" ref="I88" si="272">(B88-B87)/12*6+B87</f>
        <v>83748587.984999999</v>
      </c>
      <c r="J88" s="34">
        <f t="shared" ref="J88" si="273">(B88-B87)/12*7+B87</f>
        <v>83347117.579166666</v>
      </c>
      <c r="K88" s="34">
        <f t="shared" ref="K88" si="274">(B88-B87)/12*8+B87</f>
        <v>82945647.173333332</v>
      </c>
      <c r="L88" s="34">
        <f t="shared" ref="L88" si="275">(B88-B87)/12*9+B87</f>
        <v>82544176.767499998</v>
      </c>
      <c r="M88" s="34">
        <f t="shared" ref="M88" si="276">(B88-B87)/12*10+B87</f>
        <v>82142706.361666664</v>
      </c>
      <c r="N88" s="34">
        <f t="shared" ref="N88" si="277">(B88-B87)/12*11+B87</f>
        <v>81741235.955833331</v>
      </c>
      <c r="O88" s="34">
        <f t="shared" ref="O88" si="278">+B88</f>
        <v>81339765.549999997</v>
      </c>
      <c r="P88" s="34">
        <f>((C87+O88)+2*(SUM(D88:N88)))/24</f>
        <v>83748587.984999999</v>
      </c>
    </row>
    <row r="89" spans="1:16" x14ac:dyDescent="0.3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</row>
    <row r="90" spans="1:16" x14ac:dyDescent="0.3">
      <c r="B90" s="36"/>
      <c r="L90" s="36" t="s">
        <v>195</v>
      </c>
      <c r="M90" s="69"/>
      <c r="N90" s="69"/>
      <c r="O90" s="69"/>
    </row>
    <row r="91" spans="1:16" ht="15" thickBot="1" x14ac:dyDescent="0.35">
      <c r="B91" s="36"/>
    </row>
    <row r="92" spans="1:16" x14ac:dyDescent="0.3">
      <c r="B92" s="36"/>
      <c r="M92" s="198"/>
      <c r="N92" s="199"/>
      <c r="O92" s="4" t="s">
        <v>194</v>
      </c>
    </row>
    <row r="93" spans="1:16" x14ac:dyDescent="0.3">
      <c r="B93" s="36"/>
      <c r="M93" s="200" t="s">
        <v>193</v>
      </c>
      <c r="N93" s="156"/>
      <c r="O93" s="201">
        <f>SUMIF(A7:A88,"2018",O7:O88)</f>
        <v>524145744.97000003</v>
      </c>
    </row>
    <row r="94" spans="1:16" x14ac:dyDescent="0.3">
      <c r="B94" s="36"/>
      <c r="M94" s="200" t="s">
        <v>192</v>
      </c>
      <c r="N94" s="156"/>
      <c r="O94" s="8">
        <f>-O8</f>
        <v>-253964.7</v>
      </c>
    </row>
    <row r="95" spans="1:16" x14ac:dyDescent="0.3">
      <c r="B95" s="36"/>
      <c r="M95" s="200" t="s">
        <v>191</v>
      </c>
      <c r="N95" s="156"/>
      <c r="O95" s="8">
        <f>-O20</f>
        <v>-4391221.1900000004</v>
      </c>
    </row>
    <row r="96" spans="1:16" x14ac:dyDescent="0.3">
      <c r="B96" s="36"/>
      <c r="M96" s="200" t="s">
        <v>190</v>
      </c>
      <c r="N96" s="156"/>
      <c r="O96" s="202">
        <f>-'DFIT EIM 2018'!O10</f>
        <v>980694.34861275041</v>
      </c>
    </row>
    <row r="97" spans="2:15" x14ac:dyDescent="0.3">
      <c r="B97" s="36"/>
      <c r="M97" s="203" t="s">
        <v>189</v>
      </c>
      <c r="N97" s="156"/>
      <c r="O97" s="8">
        <f>SUM(O93:O96)</f>
        <v>520481253.42861277</v>
      </c>
    </row>
    <row r="98" spans="2:15" x14ac:dyDescent="0.3">
      <c r="B98" s="36"/>
      <c r="M98" s="200" t="s">
        <v>188</v>
      </c>
      <c r="N98" s="156"/>
      <c r="O98" s="8">
        <v>3000498.42</v>
      </c>
    </row>
    <row r="99" spans="2:15" x14ac:dyDescent="0.3">
      <c r="B99" s="36"/>
      <c r="M99" s="200" t="s">
        <v>187</v>
      </c>
      <c r="N99" s="156"/>
      <c r="O99" s="204">
        <f>+'ARC &amp; ARO DIT Dec 2018'!C12</f>
        <v>3910140.6200220003</v>
      </c>
    </row>
    <row r="100" spans="2:15" ht="15" thickBot="1" x14ac:dyDescent="0.35">
      <c r="B100" s="36"/>
      <c r="M100" s="205"/>
      <c r="N100" s="162"/>
      <c r="O100" s="3">
        <f>SUM(O97:O99)</f>
        <v>527391892.46863478</v>
      </c>
    </row>
    <row r="101" spans="2:15" x14ac:dyDescent="0.3">
      <c r="B101" s="36"/>
    </row>
    <row r="102" spans="2:15" x14ac:dyDescent="0.3">
      <c r="B102" s="36"/>
    </row>
    <row r="103" spans="2:15" x14ac:dyDescent="0.3">
      <c r="F103" s="2"/>
    </row>
    <row r="104" spans="2:15" x14ac:dyDescent="0.3">
      <c r="F104" s="2"/>
    </row>
    <row r="105" spans="2:15" x14ac:dyDescent="0.3">
      <c r="F105" s="2"/>
    </row>
    <row r="106" spans="2:15" x14ac:dyDescent="0.3">
      <c r="F106" s="2"/>
    </row>
    <row r="107" spans="2:15" x14ac:dyDescent="0.3">
      <c r="F107" s="2"/>
    </row>
    <row r="108" spans="2:15" x14ac:dyDescent="0.3">
      <c r="F108" s="2"/>
    </row>
    <row r="109" spans="2:15" x14ac:dyDescent="0.3">
      <c r="F109" s="2"/>
    </row>
    <row r="110" spans="2:15" x14ac:dyDescent="0.3">
      <c r="F110" s="2"/>
    </row>
    <row r="111" spans="2:15" x14ac:dyDescent="0.3">
      <c r="F111" s="2"/>
    </row>
    <row r="112" spans="2:15" x14ac:dyDescent="0.3">
      <c r="F112" s="2"/>
    </row>
    <row r="113" spans="6:15" x14ac:dyDescent="0.3">
      <c r="F113" s="2"/>
    </row>
    <row r="114" spans="6:15" x14ac:dyDescent="0.3">
      <c r="O114" s="34"/>
    </row>
    <row r="115" spans="6:15" x14ac:dyDescent="0.3">
      <c r="O115" s="34"/>
    </row>
    <row r="116" spans="6:15" x14ac:dyDescent="0.3">
      <c r="O116" s="34"/>
    </row>
    <row r="117" spans="6:15" x14ac:dyDescent="0.3">
      <c r="O117" s="34"/>
    </row>
    <row r="118" spans="6:15" x14ac:dyDescent="0.3">
      <c r="O118" s="34"/>
    </row>
    <row r="119" spans="6:15" x14ac:dyDescent="0.3">
      <c r="O119" s="34"/>
    </row>
    <row r="120" spans="6:15" x14ac:dyDescent="0.3">
      <c r="O120" s="34"/>
    </row>
    <row r="121" spans="6:15" x14ac:dyDescent="0.3">
      <c r="O121" s="34"/>
    </row>
    <row r="122" spans="6:15" x14ac:dyDescent="0.3">
      <c r="O122" s="34"/>
    </row>
    <row r="123" spans="6:15" x14ac:dyDescent="0.3">
      <c r="O123" s="34"/>
    </row>
  </sheetData>
  <printOptions gridLines="1"/>
  <pageMargins left="0.7" right="0.7" top="0.75" bottom="0.75" header="0.3" footer="0.3"/>
  <pageSetup paperSize="5" scale="74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sqref="A1:XFD1048576"/>
    </sheetView>
  </sheetViews>
  <sheetFormatPr defaultColWidth="8.88671875" defaultRowHeight="14.4" outlineLevelRow="1" x14ac:dyDescent="0.3"/>
  <cols>
    <col min="1" max="1" width="9" style="36" customWidth="1"/>
    <col min="2" max="2" width="19" style="36" customWidth="1"/>
    <col min="3" max="6" width="19.33203125" style="36" customWidth="1"/>
    <col min="7" max="7" width="14.6640625" style="36" customWidth="1"/>
    <col min="8" max="8" width="2.33203125" style="36" customWidth="1"/>
    <col min="9" max="11" width="11.6640625" style="36" hidden="1" customWidth="1"/>
    <col min="12" max="12" width="14" style="36" customWidth="1"/>
    <col min="13" max="13" width="8.5546875" style="36" bestFit="1" customWidth="1"/>
    <col min="14" max="14" width="8.5546875" style="2" bestFit="1" customWidth="1"/>
    <col min="15" max="16384" width="8.88671875" style="36"/>
  </cols>
  <sheetData>
    <row r="1" spans="1:12" ht="18" x14ac:dyDescent="0.35">
      <c r="A1" s="43" t="s">
        <v>397</v>
      </c>
      <c r="H1" s="43"/>
    </row>
    <row r="2" spans="1:12" ht="18" x14ac:dyDescent="0.35">
      <c r="A2" s="44" t="s">
        <v>398</v>
      </c>
    </row>
    <row r="3" spans="1:12" ht="15" thickBot="1" x14ac:dyDescent="0.35"/>
    <row r="4" spans="1:12" ht="15" thickBot="1" x14ac:dyDescent="0.35">
      <c r="C4" s="447" t="s">
        <v>399</v>
      </c>
      <c r="D4" s="448"/>
      <c r="E4" s="448"/>
      <c r="F4" s="448"/>
      <c r="G4" s="449"/>
    </row>
    <row r="5" spans="1:12" ht="15" thickBot="1" x14ac:dyDescent="0.35">
      <c r="C5" s="450">
        <v>19000441</v>
      </c>
      <c r="D5" s="451"/>
      <c r="E5" s="452"/>
      <c r="F5" s="45">
        <v>19000592</v>
      </c>
      <c r="G5" s="46"/>
    </row>
    <row r="6" spans="1:12" x14ac:dyDescent="0.3">
      <c r="C6" s="47" t="s">
        <v>400</v>
      </c>
      <c r="D6" s="47" t="s">
        <v>401</v>
      </c>
      <c r="E6" s="47" t="s">
        <v>402</v>
      </c>
      <c r="F6" s="48" t="s">
        <v>403</v>
      </c>
      <c r="G6" s="49" t="s">
        <v>150</v>
      </c>
    </row>
    <row r="7" spans="1:12" x14ac:dyDescent="0.3">
      <c r="A7" s="50" t="s">
        <v>404</v>
      </c>
      <c r="G7" s="183"/>
      <c r="L7" s="183"/>
    </row>
    <row r="8" spans="1:12" x14ac:dyDescent="0.3">
      <c r="B8" s="36" t="s">
        <v>405</v>
      </c>
      <c r="C8" s="2">
        <f>C26</f>
        <v>44057528.761799999</v>
      </c>
      <c r="D8" s="2">
        <f t="shared" ref="D8:F8" si="0">D26</f>
        <v>6044782</v>
      </c>
      <c r="E8" s="2">
        <f t="shared" si="0"/>
        <v>66936125</v>
      </c>
      <c r="F8" s="2">
        <f t="shared" si="0"/>
        <v>9367711.2381999996</v>
      </c>
      <c r="G8" s="2">
        <f>SUM(C8:F8)</f>
        <v>126406146.99999999</v>
      </c>
    </row>
    <row r="9" spans="1:12" x14ac:dyDescent="0.3">
      <c r="B9" s="36" t="s">
        <v>406</v>
      </c>
      <c r="C9" s="184">
        <f>-C38</f>
        <v>-62677246</v>
      </c>
      <c r="D9" s="184">
        <f t="shared" ref="D9:G9" si="1">-D38</f>
        <v>-13384571</v>
      </c>
      <c r="E9" s="184">
        <f t="shared" si="1"/>
        <v>-92701029</v>
      </c>
      <c r="F9" s="184">
        <f t="shared" si="1"/>
        <v>-9941119</v>
      </c>
      <c r="G9" s="184">
        <f t="shared" si="1"/>
        <v>-178703965</v>
      </c>
      <c r="J9" s="6">
        <f>190819040.99-3232128.58</f>
        <v>187586912.41</v>
      </c>
    </row>
    <row r="10" spans="1:12" x14ac:dyDescent="0.3">
      <c r="B10" s="36" t="s">
        <v>407</v>
      </c>
      <c r="C10" s="2">
        <f>SUM(C8:C9)</f>
        <v>-18619717.238200001</v>
      </c>
      <c r="D10" s="2">
        <f>SUM(D8:D9)</f>
        <v>-7339789</v>
      </c>
      <c r="E10" s="2">
        <f>SUM(E8:E9)</f>
        <v>-25764904</v>
      </c>
      <c r="F10" s="2">
        <f>SUM(F8:F9)</f>
        <v>-573407.76180000044</v>
      </c>
      <c r="G10" s="2">
        <f>SUM(G8:G9)</f>
        <v>-52297818.000000015</v>
      </c>
    </row>
    <row r="11" spans="1:12" x14ac:dyDescent="0.3">
      <c r="B11" s="2"/>
      <c r="C11" s="185">
        <v>0.21</v>
      </c>
      <c r="D11" s="185">
        <v>0.21</v>
      </c>
      <c r="E11" s="185">
        <v>0.21</v>
      </c>
      <c r="F11" s="185">
        <v>0.21</v>
      </c>
      <c r="G11" s="185">
        <v>0.21</v>
      </c>
      <c r="I11" s="51">
        <v>43100</v>
      </c>
      <c r="J11" s="52" t="s">
        <v>408</v>
      </c>
      <c r="K11" s="52" t="s">
        <v>409</v>
      </c>
    </row>
    <row r="12" spans="1:12" ht="15" thickBot="1" x14ac:dyDescent="0.35">
      <c r="B12" s="186" t="s">
        <v>410</v>
      </c>
      <c r="C12" s="187">
        <f>-C10*C11</f>
        <v>3910140.6200220003</v>
      </c>
      <c r="D12" s="187">
        <f>-D10*D11</f>
        <v>1541355.69</v>
      </c>
      <c r="E12" s="187">
        <f>-E10*E11</f>
        <v>5410629.8399999999</v>
      </c>
      <c r="F12" s="187">
        <f>-F10*F11</f>
        <v>120415.62997800008</v>
      </c>
      <c r="G12" s="187">
        <f>-G10*G11</f>
        <v>10982541.780000003</v>
      </c>
      <c r="I12" s="2" t="e">
        <f>#REF!</f>
        <v>#REF!</v>
      </c>
      <c r="J12" s="2" t="e">
        <f>I12-G12</f>
        <v>#REF!</v>
      </c>
      <c r="K12" s="6" t="e">
        <f>J12/0.21</f>
        <v>#REF!</v>
      </c>
    </row>
    <row r="13" spans="1:12" ht="15" thickTop="1" x14ac:dyDescent="0.3">
      <c r="C13" s="2"/>
      <c r="D13" s="2"/>
      <c r="E13" s="2"/>
      <c r="F13" s="2"/>
      <c r="G13" s="2"/>
      <c r="H13" s="2"/>
    </row>
    <row r="14" spans="1:12" x14ac:dyDescent="0.3">
      <c r="G14" s="2"/>
      <c r="H14" s="2"/>
      <c r="I14" s="2"/>
      <c r="J14" s="2"/>
    </row>
    <row r="15" spans="1:12" x14ac:dyDescent="0.3">
      <c r="B15" s="2"/>
      <c r="C15" s="2"/>
      <c r="D15" s="2"/>
      <c r="E15" s="2"/>
      <c r="F15" s="2"/>
      <c r="G15" s="2"/>
    </row>
    <row r="16" spans="1:12" x14ac:dyDescent="0.3">
      <c r="B16" s="2"/>
      <c r="C16" s="2"/>
      <c r="D16" s="2"/>
      <c r="E16" s="2"/>
      <c r="F16" s="2"/>
      <c r="G16" s="2"/>
    </row>
    <row r="17" spans="2:7" ht="15" hidden="1" outlineLevel="1" thickBot="1" x14ac:dyDescent="0.35">
      <c r="B17" s="2"/>
      <c r="C17" s="453" t="s">
        <v>411</v>
      </c>
      <c r="D17" s="454"/>
      <c r="E17" s="454"/>
      <c r="F17" s="454"/>
      <c r="G17" s="455"/>
    </row>
    <row r="18" spans="2:7" hidden="1" outlineLevel="1" x14ac:dyDescent="0.3">
      <c r="B18" s="2"/>
      <c r="C18" s="47" t="s">
        <v>400</v>
      </c>
      <c r="D18" s="47" t="s">
        <v>401</v>
      </c>
      <c r="E18" s="47" t="s">
        <v>402</v>
      </c>
      <c r="F18" s="48" t="s">
        <v>403</v>
      </c>
      <c r="G18" s="49" t="s">
        <v>150</v>
      </c>
    </row>
    <row r="19" spans="2:7" hidden="1" outlineLevel="1" x14ac:dyDescent="0.3">
      <c r="B19" s="2"/>
      <c r="C19" s="2">
        <v>418817</v>
      </c>
      <c r="D19" s="2">
        <v>1886971</v>
      </c>
      <c r="E19" s="2">
        <v>34311325</v>
      </c>
      <c r="F19" s="2">
        <v>6243820</v>
      </c>
      <c r="G19" s="2">
        <f>SUM(C19:F19)</f>
        <v>42860933</v>
      </c>
    </row>
    <row r="20" spans="2:7" hidden="1" outlineLevel="1" x14ac:dyDescent="0.3">
      <c r="B20" s="2"/>
      <c r="C20" s="2">
        <v>844775</v>
      </c>
      <c r="D20" s="2">
        <v>4157811</v>
      </c>
      <c r="E20" s="2">
        <v>32624800</v>
      </c>
      <c r="F20" s="2">
        <v>2952111</v>
      </c>
      <c r="G20" s="2">
        <f t="shared" ref="G20:G25" si="2">SUM(C20:F20)</f>
        <v>40579497</v>
      </c>
    </row>
    <row r="21" spans="2:7" hidden="1" outlineLevel="1" x14ac:dyDescent="0.3">
      <c r="B21" s="2"/>
      <c r="C21" s="2">
        <v>299048</v>
      </c>
      <c r="D21" s="2"/>
      <c r="E21" s="2"/>
      <c r="F21" s="2"/>
      <c r="G21" s="2">
        <f t="shared" si="2"/>
        <v>299048</v>
      </c>
    </row>
    <row r="22" spans="2:7" hidden="1" outlineLevel="1" x14ac:dyDescent="0.3">
      <c r="B22" s="2"/>
      <c r="C22" s="2">
        <v>9965559</v>
      </c>
      <c r="D22" s="2"/>
      <c r="E22" s="2"/>
      <c r="F22" s="2"/>
      <c r="G22" s="2">
        <f t="shared" si="2"/>
        <v>9965559</v>
      </c>
    </row>
    <row r="23" spans="2:7" hidden="1" outlineLevel="1" x14ac:dyDescent="0.3">
      <c r="B23" s="2"/>
      <c r="C23" s="2">
        <v>14143812</v>
      </c>
      <c r="D23" s="2"/>
      <c r="E23" s="2"/>
      <c r="F23" s="2"/>
      <c r="G23" s="2">
        <f t="shared" si="2"/>
        <v>14143812</v>
      </c>
    </row>
    <row r="24" spans="2:7" hidden="1" outlineLevel="1" x14ac:dyDescent="0.3">
      <c r="B24" s="2"/>
      <c r="C24" s="2">
        <v>18058227</v>
      </c>
      <c r="E24" s="2"/>
      <c r="F24" s="2"/>
      <c r="G24" s="2">
        <f t="shared" si="2"/>
        <v>18058227</v>
      </c>
    </row>
    <row r="25" spans="2:7" hidden="1" outlineLevel="1" x14ac:dyDescent="0.3">
      <c r="B25" s="2"/>
      <c r="C25" s="2">
        <f>499071*0.6558</f>
        <v>327290.76180000004</v>
      </c>
      <c r="D25" s="2"/>
      <c r="E25" s="2"/>
      <c r="F25" s="2">
        <f>499071-C25</f>
        <v>171780.23819999996</v>
      </c>
      <c r="G25" s="2">
        <f t="shared" si="2"/>
        <v>499071</v>
      </c>
    </row>
    <row r="26" spans="2:7" ht="15" hidden="1" outlineLevel="1" thickBot="1" x14ac:dyDescent="0.35">
      <c r="B26" s="2"/>
      <c r="C26" s="187">
        <f>SUM(C19:C25)</f>
        <v>44057528.761799999</v>
      </c>
      <c r="D26" s="187">
        <f t="shared" ref="D26:F26" si="3">SUM(D19:D25)</f>
        <v>6044782</v>
      </c>
      <c r="E26" s="187">
        <f t="shared" si="3"/>
        <v>66936125</v>
      </c>
      <c r="F26" s="187">
        <f t="shared" si="3"/>
        <v>9367711.2381999996</v>
      </c>
      <c r="G26" s="187">
        <f>SUM(C26:F26)</f>
        <v>126406146.99999999</v>
      </c>
    </row>
    <row r="27" spans="2:7" ht="15.6" hidden="1" outlineLevel="1" thickTop="1" thickBot="1" x14ac:dyDescent="0.35">
      <c r="B27" s="2"/>
      <c r="C27" s="2"/>
      <c r="D27" s="2"/>
      <c r="E27" s="2"/>
      <c r="F27" s="2"/>
      <c r="G27" s="2"/>
    </row>
    <row r="28" spans="2:7" ht="15" hidden="1" outlineLevel="1" thickBot="1" x14ac:dyDescent="0.35">
      <c r="B28" s="2"/>
      <c r="C28" s="453" t="s">
        <v>412</v>
      </c>
      <c r="D28" s="454"/>
      <c r="E28" s="454"/>
      <c r="F28" s="454"/>
      <c r="G28" s="455"/>
    </row>
    <row r="29" spans="2:7" hidden="1" outlineLevel="1" x14ac:dyDescent="0.3">
      <c r="B29" s="2"/>
      <c r="C29" s="47" t="s">
        <v>400</v>
      </c>
      <c r="D29" s="47" t="s">
        <v>401</v>
      </c>
      <c r="E29" s="47" t="s">
        <v>402</v>
      </c>
      <c r="F29" s="48" t="s">
        <v>403</v>
      </c>
      <c r="G29" s="49" t="s">
        <v>150</v>
      </c>
    </row>
    <row r="30" spans="2:7" hidden="1" outlineLevel="1" x14ac:dyDescent="0.3">
      <c r="B30" s="2"/>
      <c r="C30" s="2">
        <v>14410177</v>
      </c>
      <c r="D30" s="2">
        <v>4532108</v>
      </c>
      <c r="E30" s="2">
        <v>52488362</v>
      </c>
      <c r="F30" s="2">
        <v>9941119</v>
      </c>
      <c r="G30" s="2">
        <f>SUM(C30:F30)</f>
        <v>81371766</v>
      </c>
    </row>
    <row r="31" spans="2:7" hidden="1" outlineLevel="1" x14ac:dyDescent="0.3">
      <c r="B31" s="2"/>
      <c r="C31" s="2">
        <v>20126115</v>
      </c>
      <c r="D31" s="2">
        <v>8852463</v>
      </c>
      <c r="E31" s="2">
        <v>40212667</v>
      </c>
      <c r="F31" s="2"/>
      <c r="G31" s="2">
        <f t="shared" ref="G31:G36" si="4">SUM(C31:F31)</f>
        <v>69191245</v>
      </c>
    </row>
    <row r="32" spans="2:7" hidden="1" outlineLevel="1" x14ac:dyDescent="0.3">
      <c r="B32" s="2"/>
      <c r="C32" s="2">
        <v>588905</v>
      </c>
      <c r="D32" s="2"/>
      <c r="E32" s="2"/>
      <c r="F32" s="2"/>
      <c r="G32" s="2">
        <f t="shared" si="4"/>
        <v>588905</v>
      </c>
    </row>
    <row r="33" spans="2:7" hidden="1" outlineLevel="1" x14ac:dyDescent="0.3">
      <c r="B33" s="2"/>
      <c r="C33" s="2">
        <v>124114</v>
      </c>
      <c r="D33" s="2"/>
      <c r="E33" s="2"/>
      <c r="F33" s="2"/>
      <c r="G33" s="2">
        <f t="shared" si="4"/>
        <v>124114</v>
      </c>
    </row>
    <row r="34" spans="2:7" hidden="1" outlineLevel="1" x14ac:dyDescent="0.3">
      <c r="B34" s="2"/>
      <c r="C34" s="2">
        <v>1296413</v>
      </c>
      <c r="D34" s="2"/>
      <c r="E34" s="2"/>
      <c r="F34" s="2"/>
      <c r="G34" s="2">
        <f t="shared" si="4"/>
        <v>1296413</v>
      </c>
    </row>
    <row r="35" spans="2:7" hidden="1" outlineLevel="1" x14ac:dyDescent="0.3">
      <c r="B35" s="2"/>
      <c r="C35" s="2">
        <v>1074726</v>
      </c>
      <c r="E35" s="2"/>
      <c r="F35" s="2"/>
      <c r="G35" s="2">
        <f t="shared" si="4"/>
        <v>1074726</v>
      </c>
    </row>
    <row r="36" spans="2:7" hidden="1" outlineLevel="1" x14ac:dyDescent="0.3">
      <c r="B36" s="2"/>
      <c r="C36" s="2">
        <v>24555619</v>
      </c>
      <c r="D36" s="2"/>
      <c r="E36" s="2"/>
      <c r="F36" s="2"/>
      <c r="G36" s="2">
        <f t="shared" si="4"/>
        <v>24555619</v>
      </c>
    </row>
    <row r="37" spans="2:7" hidden="1" outlineLevel="1" x14ac:dyDescent="0.3">
      <c r="B37" s="2"/>
      <c r="C37" s="2">
        <f>501177</f>
        <v>501177</v>
      </c>
      <c r="E37" s="2"/>
      <c r="F37" s="2">
        <f>501177-C37</f>
        <v>0</v>
      </c>
      <c r="G37" s="2">
        <f>SUM(C37:F37)</f>
        <v>501177</v>
      </c>
    </row>
    <row r="38" spans="2:7" ht="15" hidden="1" outlineLevel="1" thickBot="1" x14ac:dyDescent="0.35">
      <c r="B38" s="2"/>
      <c r="C38" s="187">
        <f>SUM(C30:C37)</f>
        <v>62677246</v>
      </c>
      <c r="D38" s="187">
        <f t="shared" ref="D38:G38" si="5">SUM(D30:D37)</f>
        <v>13384571</v>
      </c>
      <c r="E38" s="187">
        <f t="shared" si="5"/>
        <v>92701029</v>
      </c>
      <c r="F38" s="187">
        <f t="shared" si="5"/>
        <v>9941119</v>
      </c>
      <c r="G38" s="187">
        <f t="shared" si="5"/>
        <v>178703965</v>
      </c>
    </row>
    <row r="39" spans="2:7" collapsed="1" x14ac:dyDescent="0.3">
      <c r="B39" s="2"/>
      <c r="C39" s="2"/>
      <c r="D39" s="2"/>
      <c r="E39" s="2"/>
      <c r="F39" s="2"/>
      <c r="G39" s="2"/>
    </row>
    <row r="40" spans="2:7" x14ac:dyDescent="0.3">
      <c r="B40" s="2"/>
      <c r="C40" s="2"/>
      <c r="D40" s="2"/>
      <c r="E40" s="2"/>
      <c r="F40" s="2"/>
      <c r="G40" s="2"/>
    </row>
    <row r="41" spans="2:7" x14ac:dyDescent="0.3">
      <c r="B41" s="2"/>
      <c r="C41" s="2"/>
      <c r="D41" s="2"/>
      <c r="E41" s="2"/>
      <c r="F41" s="2"/>
      <c r="G41" s="2"/>
    </row>
  </sheetData>
  <mergeCells count="4">
    <mergeCell ref="C4:G4"/>
    <mergeCell ref="C5:E5"/>
    <mergeCell ref="C17:G17"/>
    <mergeCell ref="C28:G28"/>
  </mergeCells>
  <pageMargins left="0.7" right="0.7" top="0.75" bottom="0.75" header="0.3" footer="0.3"/>
  <pageSetup scale="65" orientation="landscape" r:id="rId1"/>
  <headerFooter>
    <oddFooter>&amp;LPrepared by: Ana-Maria Botocan
&amp;D&amp;R&amp;Z&amp;F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"/>
  <sheetViews>
    <sheetView workbookViewId="0">
      <pane xSplit="1" ySplit="6" topLeftCell="B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6640625" defaultRowHeight="13.2" outlineLevelRow="1" x14ac:dyDescent="0.25"/>
  <cols>
    <col min="1" max="1" width="25.44140625" style="70" customWidth="1"/>
    <col min="2" max="2" width="12.6640625" style="70" bestFit="1" customWidth="1"/>
    <col min="3" max="3" width="14.5546875" style="70" bestFit="1" customWidth="1"/>
    <col min="4" max="4" width="9.44140625" style="70" bestFit="1" customWidth="1"/>
    <col min="5" max="5" width="11.6640625" style="70" bestFit="1" customWidth="1"/>
    <col min="6" max="6" width="11.44140625" style="70" bestFit="1" customWidth="1"/>
    <col min="7" max="7" width="12.6640625" style="70" bestFit="1" customWidth="1"/>
    <col min="8" max="8" width="14.5546875" style="70" bestFit="1" customWidth="1"/>
    <col min="9" max="16384" width="11.6640625" style="70"/>
  </cols>
  <sheetData>
    <row r="1" spans="1:8" x14ac:dyDescent="0.25">
      <c r="A1" s="166"/>
    </row>
    <row r="3" spans="1:8" x14ac:dyDescent="0.25">
      <c r="A3" s="167" t="s">
        <v>267</v>
      </c>
      <c r="B3" s="167"/>
      <c r="C3" s="167"/>
      <c r="D3" s="167"/>
      <c r="E3" s="167"/>
      <c r="F3" s="167"/>
      <c r="G3" s="167"/>
    </row>
    <row r="4" spans="1:8" x14ac:dyDescent="0.25">
      <c r="B4" s="168" t="s">
        <v>266</v>
      </c>
      <c r="C4" s="168" t="s">
        <v>265</v>
      </c>
      <c r="D4" s="168" t="s">
        <v>264</v>
      </c>
      <c r="E4" s="168" t="s">
        <v>263</v>
      </c>
      <c r="F4" s="168" t="s">
        <v>262</v>
      </c>
      <c r="G4" s="168" t="s">
        <v>261</v>
      </c>
      <c r="H4" s="168" t="s">
        <v>260</v>
      </c>
    </row>
    <row r="5" spans="1:8" ht="14.25" customHeight="1" x14ac:dyDescent="0.25">
      <c r="B5" s="169" t="s">
        <v>257</v>
      </c>
      <c r="C5" s="169" t="s">
        <v>256</v>
      </c>
      <c r="D5" s="169" t="s">
        <v>259</v>
      </c>
      <c r="E5" s="169" t="s">
        <v>258</v>
      </c>
      <c r="F5" s="170" t="s">
        <v>258</v>
      </c>
      <c r="G5" s="170" t="s">
        <v>257</v>
      </c>
      <c r="H5" s="170" t="s">
        <v>256</v>
      </c>
    </row>
    <row r="6" spans="1:8" x14ac:dyDescent="0.25">
      <c r="B6" s="171" t="s">
        <v>255</v>
      </c>
      <c r="C6" s="171" t="s">
        <v>255</v>
      </c>
      <c r="D6" s="171" t="s">
        <v>255</v>
      </c>
      <c r="E6" s="171" t="s">
        <v>255</v>
      </c>
      <c r="F6" s="171" t="s">
        <v>254</v>
      </c>
      <c r="G6" s="171" t="s">
        <v>254</v>
      </c>
      <c r="H6" s="171" t="s">
        <v>254</v>
      </c>
    </row>
    <row r="7" spans="1:8" x14ac:dyDescent="0.25">
      <c r="B7" s="170"/>
      <c r="C7" s="170"/>
      <c r="D7" s="170"/>
      <c r="E7" s="170"/>
      <c r="F7" s="170"/>
      <c r="G7" s="170"/>
    </row>
    <row r="8" spans="1:8" x14ac:dyDescent="0.25">
      <c r="A8" s="172">
        <v>31777</v>
      </c>
      <c r="B8" s="173">
        <v>13325303.640000001</v>
      </c>
      <c r="C8" s="173">
        <v>7944337.8899999997</v>
      </c>
      <c r="D8" s="173">
        <v>319635.46999999997</v>
      </c>
      <c r="E8" s="173">
        <f>SUM(B8:D8)</f>
        <v>21589277</v>
      </c>
      <c r="F8" s="170"/>
      <c r="G8" s="170"/>
    </row>
    <row r="9" spans="1:8" x14ac:dyDescent="0.25">
      <c r="A9" s="172" t="s">
        <v>253</v>
      </c>
      <c r="B9" s="173">
        <v>-397628.69</v>
      </c>
      <c r="C9" s="173">
        <v>-157519.01999999999</v>
      </c>
      <c r="D9" s="173">
        <v>-21479.5</v>
      </c>
      <c r="E9" s="173">
        <f>SUM(B9:D9)</f>
        <v>-576627.21</v>
      </c>
      <c r="F9" s="170"/>
      <c r="G9" s="170"/>
    </row>
    <row r="10" spans="1:8" x14ac:dyDescent="0.25">
      <c r="A10" s="172">
        <v>32142</v>
      </c>
      <c r="B10" s="174">
        <f>SUM(B8:B9)</f>
        <v>12927674.950000001</v>
      </c>
      <c r="C10" s="174">
        <f>SUM(C8:C9)</f>
        <v>7786818.8700000001</v>
      </c>
      <c r="D10" s="174">
        <f>SUM(D8:D9)</f>
        <v>298155.96999999997</v>
      </c>
      <c r="E10" s="174">
        <f>SUM(E8:E9)</f>
        <v>21012649.789999999</v>
      </c>
      <c r="F10" s="170"/>
      <c r="G10" s="170"/>
    </row>
    <row r="11" spans="1:8" x14ac:dyDescent="0.25">
      <c r="A11" s="172" t="s">
        <v>252</v>
      </c>
      <c r="B11" s="174">
        <v>36.450000000000003</v>
      </c>
      <c r="C11" s="174">
        <v>36.450000000000003</v>
      </c>
      <c r="D11" s="174">
        <v>36.450000000000003</v>
      </c>
      <c r="E11" s="174"/>
      <c r="F11" s="170"/>
      <c r="G11" s="170"/>
    </row>
    <row r="12" spans="1:8" x14ac:dyDescent="0.25">
      <c r="A12" s="172" t="s">
        <v>251</v>
      </c>
      <c r="B12" s="174">
        <f>ROUND(B10/B11,2)</f>
        <v>354668.72</v>
      </c>
      <c r="C12" s="174">
        <f>ROUND(C10/C11,2)</f>
        <v>213630.15</v>
      </c>
      <c r="D12" s="174">
        <f>ROUND(D10/D11,2)</f>
        <v>8179.86</v>
      </c>
      <c r="E12" s="173">
        <f>SUM(B12:D12)</f>
        <v>576478.73</v>
      </c>
      <c r="F12" s="170"/>
      <c r="G12" s="170"/>
    </row>
    <row r="13" spans="1:8" x14ac:dyDescent="0.25">
      <c r="A13" s="172" t="s">
        <v>250</v>
      </c>
      <c r="B13" s="174">
        <f>ROUND(B12/12,2)</f>
        <v>29555.73</v>
      </c>
      <c r="C13" s="174">
        <f>ROUND(C12/12,2)</f>
        <v>17802.509999999998</v>
      </c>
      <c r="D13" s="174">
        <f>ROUND(D12/12,2)</f>
        <v>681.66</v>
      </c>
      <c r="E13" s="174">
        <f>ROUND(E12/12,2)</f>
        <v>48039.89</v>
      </c>
      <c r="F13" s="170"/>
      <c r="G13" s="170"/>
    </row>
    <row r="14" spans="1:8" x14ac:dyDescent="0.25">
      <c r="A14" s="175"/>
      <c r="B14" s="174"/>
      <c r="C14" s="174"/>
      <c r="D14" s="174"/>
      <c r="E14" s="174"/>
      <c r="F14" s="170"/>
      <c r="G14" s="170"/>
    </row>
    <row r="15" spans="1:8" hidden="1" outlineLevel="1" x14ac:dyDescent="0.25">
      <c r="A15" s="176">
        <v>35246</v>
      </c>
      <c r="B15" s="173">
        <v>9912990.4900000002</v>
      </c>
      <c r="C15" s="173">
        <v>5970962.8499999996</v>
      </c>
      <c r="D15" s="173">
        <v>228626.65</v>
      </c>
      <c r="E15" s="173">
        <f t="shared" ref="E15:E78" si="0">SUM(B15:D15)</f>
        <v>16112579.99</v>
      </c>
      <c r="F15" s="167" t="s">
        <v>249</v>
      </c>
      <c r="G15" s="167"/>
      <c r="H15" s="167"/>
    </row>
    <row r="16" spans="1:8" hidden="1" outlineLevel="1" x14ac:dyDescent="0.25">
      <c r="A16" s="176">
        <v>35277</v>
      </c>
      <c r="B16" s="173">
        <f t="shared" ref="B16:B79" si="1">B15-$B$13</f>
        <v>9883434.7599999998</v>
      </c>
      <c r="C16" s="173">
        <f t="shared" ref="C16:C79" si="2">C15-$C$13</f>
        <v>5953160.3399999999</v>
      </c>
      <c r="D16" s="173">
        <f t="shared" ref="D16:D79" si="3">D15-$D$13</f>
        <v>227944.99</v>
      </c>
      <c r="E16" s="173">
        <f t="shared" si="0"/>
        <v>16064540.09</v>
      </c>
      <c r="F16" s="167" t="s">
        <v>249</v>
      </c>
      <c r="G16" s="167"/>
      <c r="H16" s="167"/>
    </row>
    <row r="17" spans="1:8" hidden="1" outlineLevel="1" x14ac:dyDescent="0.25">
      <c r="A17" s="176">
        <v>35308</v>
      </c>
      <c r="B17" s="173">
        <f t="shared" si="1"/>
        <v>9853879.0299999993</v>
      </c>
      <c r="C17" s="173">
        <f t="shared" si="2"/>
        <v>5935357.8300000001</v>
      </c>
      <c r="D17" s="173">
        <f t="shared" si="3"/>
        <v>227263.33</v>
      </c>
      <c r="E17" s="173">
        <f t="shared" si="0"/>
        <v>16016500.189999999</v>
      </c>
      <c r="F17" s="167" t="s">
        <v>249</v>
      </c>
      <c r="G17" s="167"/>
      <c r="H17" s="167"/>
    </row>
    <row r="18" spans="1:8" hidden="1" outlineLevel="1" x14ac:dyDescent="0.25">
      <c r="A18" s="176">
        <v>35338</v>
      </c>
      <c r="B18" s="173">
        <f t="shared" si="1"/>
        <v>9824323.2999999989</v>
      </c>
      <c r="C18" s="173">
        <f t="shared" si="2"/>
        <v>5917555.3200000003</v>
      </c>
      <c r="D18" s="173">
        <f t="shared" si="3"/>
        <v>226581.66999999998</v>
      </c>
      <c r="E18" s="173">
        <f t="shared" si="0"/>
        <v>15968460.289999999</v>
      </c>
      <c r="F18" s="167" t="s">
        <v>249</v>
      </c>
      <c r="G18" s="167"/>
      <c r="H18" s="167"/>
    </row>
    <row r="19" spans="1:8" hidden="1" outlineLevel="1" x14ac:dyDescent="0.25">
      <c r="A19" s="176">
        <v>35369</v>
      </c>
      <c r="B19" s="173">
        <f t="shared" si="1"/>
        <v>9794767.5699999984</v>
      </c>
      <c r="C19" s="173">
        <f t="shared" si="2"/>
        <v>5899752.8100000005</v>
      </c>
      <c r="D19" s="173">
        <f t="shared" si="3"/>
        <v>225900.00999999998</v>
      </c>
      <c r="E19" s="173">
        <f t="shared" si="0"/>
        <v>15920420.389999999</v>
      </c>
      <c r="F19" s="167" t="s">
        <v>249</v>
      </c>
      <c r="G19" s="167"/>
      <c r="H19" s="167"/>
    </row>
    <row r="20" spans="1:8" hidden="1" outlineLevel="1" x14ac:dyDescent="0.25">
      <c r="A20" s="176">
        <v>35399</v>
      </c>
      <c r="B20" s="173">
        <f t="shared" si="1"/>
        <v>9765211.839999998</v>
      </c>
      <c r="C20" s="173">
        <f t="shared" si="2"/>
        <v>5881950.3000000007</v>
      </c>
      <c r="D20" s="173">
        <f t="shared" si="3"/>
        <v>225218.34999999998</v>
      </c>
      <c r="E20" s="173">
        <f t="shared" si="0"/>
        <v>15872380.489999998</v>
      </c>
      <c r="F20" s="167" t="s">
        <v>249</v>
      </c>
      <c r="G20" s="167"/>
      <c r="H20" s="167"/>
    </row>
    <row r="21" spans="1:8" hidden="1" outlineLevel="1" x14ac:dyDescent="0.25">
      <c r="A21" s="176">
        <v>35430</v>
      </c>
      <c r="B21" s="173">
        <f t="shared" si="1"/>
        <v>9735656.1099999975</v>
      </c>
      <c r="C21" s="173">
        <f t="shared" si="2"/>
        <v>5864147.790000001</v>
      </c>
      <c r="D21" s="173">
        <f t="shared" si="3"/>
        <v>224536.68999999997</v>
      </c>
      <c r="E21" s="173">
        <f t="shared" si="0"/>
        <v>15824340.589999998</v>
      </c>
      <c r="F21" s="167" t="s">
        <v>249</v>
      </c>
      <c r="G21" s="167"/>
      <c r="H21" s="167"/>
    </row>
    <row r="22" spans="1:8" hidden="1" outlineLevel="1" x14ac:dyDescent="0.25">
      <c r="A22" s="176">
        <v>35461</v>
      </c>
      <c r="B22" s="173">
        <f t="shared" si="1"/>
        <v>9706100.3799999971</v>
      </c>
      <c r="C22" s="173">
        <f t="shared" si="2"/>
        <v>5846345.2800000012</v>
      </c>
      <c r="D22" s="173">
        <f t="shared" si="3"/>
        <v>223855.02999999997</v>
      </c>
      <c r="E22" s="173">
        <f t="shared" si="0"/>
        <v>15776300.689999998</v>
      </c>
      <c r="F22" s="167" t="s">
        <v>249</v>
      </c>
      <c r="G22" s="167"/>
      <c r="H22" s="167"/>
    </row>
    <row r="23" spans="1:8" hidden="1" outlineLevel="1" x14ac:dyDescent="0.25">
      <c r="A23" s="176">
        <v>35489</v>
      </c>
      <c r="B23" s="173">
        <f t="shared" si="1"/>
        <v>9676544.6499999966</v>
      </c>
      <c r="C23" s="173">
        <f t="shared" si="2"/>
        <v>5828542.7700000014</v>
      </c>
      <c r="D23" s="173">
        <f t="shared" si="3"/>
        <v>223173.36999999997</v>
      </c>
      <c r="E23" s="173">
        <f t="shared" si="0"/>
        <v>15728260.789999997</v>
      </c>
      <c r="F23" s="167" t="s">
        <v>249</v>
      </c>
      <c r="G23" s="167"/>
      <c r="H23" s="167"/>
    </row>
    <row r="24" spans="1:8" hidden="1" outlineLevel="1" x14ac:dyDescent="0.25">
      <c r="A24" s="176">
        <v>35520</v>
      </c>
      <c r="B24" s="173">
        <f t="shared" si="1"/>
        <v>9646988.9199999962</v>
      </c>
      <c r="C24" s="173">
        <f t="shared" si="2"/>
        <v>5810740.2600000016</v>
      </c>
      <c r="D24" s="173">
        <f t="shared" si="3"/>
        <v>222491.70999999996</v>
      </c>
      <c r="E24" s="173">
        <f t="shared" si="0"/>
        <v>15680220.889999997</v>
      </c>
      <c r="F24" s="167" t="s">
        <v>249</v>
      </c>
      <c r="G24" s="167"/>
      <c r="H24" s="167"/>
    </row>
    <row r="25" spans="1:8" hidden="1" outlineLevel="1" x14ac:dyDescent="0.25">
      <c r="A25" s="176">
        <v>35550</v>
      </c>
      <c r="B25" s="173">
        <f t="shared" si="1"/>
        <v>9617433.1899999958</v>
      </c>
      <c r="C25" s="173">
        <f t="shared" si="2"/>
        <v>5792937.7500000019</v>
      </c>
      <c r="D25" s="173">
        <f t="shared" si="3"/>
        <v>221810.04999999996</v>
      </c>
      <c r="E25" s="173">
        <f t="shared" si="0"/>
        <v>15632180.989999998</v>
      </c>
      <c r="F25" s="167" t="s">
        <v>249</v>
      </c>
      <c r="G25" s="167"/>
      <c r="H25" s="167"/>
    </row>
    <row r="26" spans="1:8" hidden="1" outlineLevel="1" x14ac:dyDescent="0.25">
      <c r="A26" s="176">
        <v>35581</v>
      </c>
      <c r="B26" s="173">
        <f t="shared" si="1"/>
        <v>9587877.4599999953</v>
      </c>
      <c r="C26" s="173">
        <f t="shared" si="2"/>
        <v>5775135.2400000021</v>
      </c>
      <c r="D26" s="173">
        <f t="shared" si="3"/>
        <v>221128.38999999996</v>
      </c>
      <c r="E26" s="173">
        <f t="shared" si="0"/>
        <v>15584141.089999998</v>
      </c>
      <c r="F26" s="167" t="s">
        <v>249</v>
      </c>
      <c r="G26" s="167"/>
      <c r="H26" s="167"/>
    </row>
    <row r="27" spans="1:8" s="177" customFormat="1" hidden="1" outlineLevel="1" x14ac:dyDescent="0.25">
      <c r="A27" s="176">
        <v>35611</v>
      </c>
      <c r="B27" s="173">
        <f t="shared" si="1"/>
        <v>9558321.7299999949</v>
      </c>
      <c r="C27" s="173">
        <f t="shared" si="2"/>
        <v>5757332.7300000023</v>
      </c>
      <c r="D27" s="173">
        <f t="shared" si="3"/>
        <v>220446.72999999995</v>
      </c>
      <c r="E27" s="173">
        <f t="shared" si="0"/>
        <v>15536101.189999998</v>
      </c>
      <c r="F27" s="173">
        <f t="shared" ref="F27:F90" si="4">(E15+E27+SUM(E16:E26)*2)/24</f>
        <v>15824340.590000002</v>
      </c>
      <c r="G27" s="173">
        <f t="shared" ref="G27:G90" si="5">(B15+B27+SUM(B16:B26)*2)/24</f>
        <v>9735656.1099999975</v>
      </c>
      <c r="H27" s="173">
        <f t="shared" ref="H27:H90" si="6">(C15+C27+SUM(C16:C26)*2)/24</f>
        <v>5864147.7900000019</v>
      </c>
    </row>
    <row r="28" spans="1:8" hidden="1" outlineLevel="1" x14ac:dyDescent="0.25">
      <c r="A28" s="176">
        <v>35642</v>
      </c>
      <c r="B28" s="173">
        <f t="shared" si="1"/>
        <v>9528765.9999999944</v>
      </c>
      <c r="C28" s="173">
        <f t="shared" si="2"/>
        <v>5739530.2200000025</v>
      </c>
      <c r="D28" s="173">
        <f t="shared" si="3"/>
        <v>219765.06999999995</v>
      </c>
      <c r="E28" s="173">
        <f t="shared" si="0"/>
        <v>15488061.289999997</v>
      </c>
      <c r="F28" s="173">
        <f t="shared" si="4"/>
        <v>15776300.689999999</v>
      </c>
      <c r="G28" s="173">
        <f t="shared" si="5"/>
        <v>9706100.3799999971</v>
      </c>
      <c r="H28" s="173">
        <f t="shared" si="6"/>
        <v>5846345.2800000012</v>
      </c>
    </row>
    <row r="29" spans="1:8" hidden="1" outlineLevel="1" x14ac:dyDescent="0.25">
      <c r="A29" s="176">
        <v>35672</v>
      </c>
      <c r="B29" s="173">
        <f t="shared" si="1"/>
        <v>9499210.269999994</v>
      </c>
      <c r="C29" s="173">
        <f t="shared" si="2"/>
        <v>5721727.7100000028</v>
      </c>
      <c r="D29" s="173">
        <f t="shared" si="3"/>
        <v>219083.40999999995</v>
      </c>
      <c r="E29" s="173">
        <f t="shared" si="0"/>
        <v>15440021.389999997</v>
      </c>
      <c r="F29" s="173">
        <f t="shared" si="4"/>
        <v>15728260.789999997</v>
      </c>
      <c r="G29" s="173">
        <f t="shared" si="5"/>
        <v>9676544.6499999966</v>
      </c>
      <c r="H29" s="173">
        <f t="shared" si="6"/>
        <v>5828542.7700000005</v>
      </c>
    </row>
    <row r="30" spans="1:8" hidden="1" outlineLevel="1" x14ac:dyDescent="0.25">
      <c r="A30" s="176">
        <v>35703</v>
      </c>
      <c r="B30" s="173">
        <f t="shared" si="1"/>
        <v>9469654.5399999935</v>
      </c>
      <c r="C30" s="173">
        <f t="shared" si="2"/>
        <v>5703925.200000003</v>
      </c>
      <c r="D30" s="173">
        <f t="shared" si="3"/>
        <v>218401.74999999994</v>
      </c>
      <c r="E30" s="173">
        <f t="shared" si="0"/>
        <v>15391981.489999996</v>
      </c>
      <c r="F30" s="173">
        <f t="shared" si="4"/>
        <v>15680220.889999995</v>
      </c>
      <c r="G30" s="173">
        <f t="shared" si="5"/>
        <v>9646988.9199999962</v>
      </c>
      <c r="H30" s="173">
        <f t="shared" si="6"/>
        <v>5810740.2600000016</v>
      </c>
    </row>
    <row r="31" spans="1:8" hidden="1" outlineLevel="1" x14ac:dyDescent="0.25">
      <c r="A31" s="176">
        <v>35734</v>
      </c>
      <c r="B31" s="173">
        <f t="shared" si="1"/>
        <v>9440098.8099999931</v>
      </c>
      <c r="C31" s="173">
        <f t="shared" si="2"/>
        <v>5686122.6900000032</v>
      </c>
      <c r="D31" s="173">
        <f t="shared" si="3"/>
        <v>217720.08999999994</v>
      </c>
      <c r="E31" s="173">
        <f t="shared" si="0"/>
        <v>15343941.589999996</v>
      </c>
      <c r="F31" s="173">
        <f t="shared" si="4"/>
        <v>15632180.99</v>
      </c>
      <c r="G31" s="173">
        <f t="shared" si="5"/>
        <v>9617433.1899999958</v>
      </c>
      <c r="H31" s="173">
        <f t="shared" si="6"/>
        <v>5792937.7500000028</v>
      </c>
    </row>
    <row r="32" spans="1:8" hidden="1" outlineLevel="1" x14ac:dyDescent="0.25">
      <c r="A32" s="176">
        <v>35764</v>
      </c>
      <c r="B32" s="173">
        <f t="shared" si="1"/>
        <v>9410543.0799999926</v>
      </c>
      <c r="C32" s="173">
        <f t="shared" si="2"/>
        <v>5668320.1800000034</v>
      </c>
      <c r="D32" s="173">
        <f t="shared" si="3"/>
        <v>217038.42999999993</v>
      </c>
      <c r="E32" s="173">
        <f t="shared" si="0"/>
        <v>15295901.689999996</v>
      </c>
      <c r="F32" s="173">
        <f t="shared" si="4"/>
        <v>15584141.089999998</v>
      </c>
      <c r="G32" s="173">
        <f t="shared" si="5"/>
        <v>9587877.4599999953</v>
      </c>
      <c r="H32" s="173">
        <f t="shared" si="6"/>
        <v>5775135.2400000021</v>
      </c>
    </row>
    <row r="33" spans="1:8" hidden="1" outlineLevel="1" x14ac:dyDescent="0.25">
      <c r="A33" s="176">
        <v>35795</v>
      </c>
      <c r="B33" s="173">
        <f t="shared" si="1"/>
        <v>9380987.3499999922</v>
      </c>
      <c r="C33" s="173">
        <f t="shared" si="2"/>
        <v>5650517.6700000037</v>
      </c>
      <c r="D33" s="173">
        <f t="shared" si="3"/>
        <v>216356.76999999993</v>
      </c>
      <c r="E33" s="173">
        <f t="shared" si="0"/>
        <v>15247861.789999995</v>
      </c>
      <c r="F33" s="173">
        <f t="shared" si="4"/>
        <v>15536101.189999998</v>
      </c>
      <c r="G33" s="173">
        <f t="shared" si="5"/>
        <v>9558321.7299999949</v>
      </c>
      <c r="H33" s="173">
        <f t="shared" si="6"/>
        <v>5757332.7300000032</v>
      </c>
    </row>
    <row r="34" spans="1:8" hidden="1" outlineLevel="1" x14ac:dyDescent="0.25">
      <c r="A34" s="176">
        <v>35826</v>
      </c>
      <c r="B34" s="173">
        <f t="shared" si="1"/>
        <v>9351431.6199999917</v>
      </c>
      <c r="C34" s="173">
        <f t="shared" si="2"/>
        <v>5632715.1600000039</v>
      </c>
      <c r="D34" s="173">
        <f t="shared" si="3"/>
        <v>215675.10999999993</v>
      </c>
      <c r="E34" s="173">
        <f t="shared" si="0"/>
        <v>15199821.889999995</v>
      </c>
      <c r="F34" s="173">
        <f t="shared" si="4"/>
        <v>15488061.289999997</v>
      </c>
      <c r="G34" s="173">
        <f t="shared" si="5"/>
        <v>9528765.9999999944</v>
      </c>
      <c r="H34" s="173">
        <f t="shared" si="6"/>
        <v>5739530.2200000025</v>
      </c>
    </row>
    <row r="35" spans="1:8" hidden="1" outlineLevel="1" x14ac:dyDescent="0.25">
      <c r="A35" s="176">
        <v>35854</v>
      </c>
      <c r="B35" s="173">
        <f t="shared" si="1"/>
        <v>9321875.8899999913</v>
      </c>
      <c r="C35" s="173">
        <f t="shared" si="2"/>
        <v>5614912.6500000041</v>
      </c>
      <c r="D35" s="173">
        <f t="shared" si="3"/>
        <v>214993.44999999992</v>
      </c>
      <c r="E35" s="173">
        <f t="shared" si="0"/>
        <v>15151781.989999995</v>
      </c>
      <c r="F35" s="173">
        <f t="shared" si="4"/>
        <v>15440021.389999995</v>
      </c>
      <c r="G35" s="173">
        <f t="shared" si="5"/>
        <v>9499210.269999994</v>
      </c>
      <c r="H35" s="173">
        <f t="shared" si="6"/>
        <v>5721727.7100000037</v>
      </c>
    </row>
    <row r="36" spans="1:8" hidden="1" outlineLevel="1" x14ac:dyDescent="0.25">
      <c r="A36" s="176">
        <v>35885</v>
      </c>
      <c r="B36" s="173">
        <f t="shared" si="1"/>
        <v>9292320.1599999908</v>
      </c>
      <c r="C36" s="173">
        <f t="shared" si="2"/>
        <v>5597110.1400000043</v>
      </c>
      <c r="D36" s="173">
        <f t="shared" si="3"/>
        <v>214311.78999999992</v>
      </c>
      <c r="E36" s="173">
        <f t="shared" si="0"/>
        <v>15103742.089999994</v>
      </c>
      <c r="F36" s="173">
        <f t="shared" si="4"/>
        <v>15391981.489999995</v>
      </c>
      <c r="G36" s="173">
        <f t="shared" si="5"/>
        <v>9469654.5399999935</v>
      </c>
      <c r="H36" s="173">
        <f t="shared" si="6"/>
        <v>5703925.200000003</v>
      </c>
    </row>
    <row r="37" spans="1:8" hidden="1" outlineLevel="1" x14ac:dyDescent="0.25">
      <c r="A37" s="176">
        <v>35915</v>
      </c>
      <c r="B37" s="173">
        <f t="shared" si="1"/>
        <v>9262764.4299999904</v>
      </c>
      <c r="C37" s="173">
        <f t="shared" si="2"/>
        <v>5579307.6300000045</v>
      </c>
      <c r="D37" s="173">
        <f t="shared" si="3"/>
        <v>213630.12999999992</v>
      </c>
      <c r="E37" s="173">
        <f t="shared" si="0"/>
        <v>15055702.189999996</v>
      </c>
      <c r="F37" s="173">
        <f t="shared" si="4"/>
        <v>15343941.589999998</v>
      </c>
      <c r="G37" s="173">
        <f t="shared" si="5"/>
        <v>9440098.8099999931</v>
      </c>
      <c r="H37" s="173">
        <f t="shared" si="6"/>
        <v>5686122.6900000023</v>
      </c>
    </row>
    <row r="38" spans="1:8" hidden="1" outlineLevel="1" x14ac:dyDescent="0.25">
      <c r="A38" s="176">
        <v>35946</v>
      </c>
      <c r="B38" s="173">
        <f t="shared" si="1"/>
        <v>9233208.6999999899</v>
      </c>
      <c r="C38" s="173">
        <f t="shared" si="2"/>
        <v>5561505.1200000048</v>
      </c>
      <c r="D38" s="173">
        <f t="shared" si="3"/>
        <v>212948.46999999991</v>
      </c>
      <c r="E38" s="173">
        <f t="shared" si="0"/>
        <v>15007662.289999995</v>
      </c>
      <c r="F38" s="173">
        <f t="shared" si="4"/>
        <v>15295901.689999998</v>
      </c>
      <c r="G38" s="173">
        <f t="shared" si="5"/>
        <v>9410543.0799999926</v>
      </c>
      <c r="H38" s="173">
        <f t="shared" si="6"/>
        <v>5668320.1800000034</v>
      </c>
    </row>
    <row r="39" spans="1:8" hidden="1" outlineLevel="1" x14ac:dyDescent="0.25">
      <c r="A39" s="176">
        <v>35976</v>
      </c>
      <c r="B39" s="173">
        <f t="shared" si="1"/>
        <v>9203652.9699999895</v>
      </c>
      <c r="C39" s="173">
        <f t="shared" si="2"/>
        <v>5543702.610000005</v>
      </c>
      <c r="D39" s="173">
        <f t="shared" si="3"/>
        <v>212266.80999999991</v>
      </c>
      <c r="E39" s="173">
        <f t="shared" si="0"/>
        <v>14959622.389999995</v>
      </c>
      <c r="F39" s="173">
        <f t="shared" si="4"/>
        <v>15247861.789999994</v>
      </c>
      <c r="G39" s="173">
        <f t="shared" si="5"/>
        <v>9380987.3499999922</v>
      </c>
      <c r="H39" s="173">
        <f t="shared" si="6"/>
        <v>5650517.6700000046</v>
      </c>
    </row>
    <row r="40" spans="1:8" hidden="1" outlineLevel="1" x14ac:dyDescent="0.25">
      <c r="A40" s="176">
        <v>36007</v>
      </c>
      <c r="B40" s="173">
        <f t="shared" si="1"/>
        <v>9174097.239999989</v>
      </c>
      <c r="C40" s="173">
        <f t="shared" si="2"/>
        <v>5525900.1000000052</v>
      </c>
      <c r="D40" s="173">
        <f t="shared" si="3"/>
        <v>211585.14999999991</v>
      </c>
      <c r="E40" s="173">
        <f t="shared" si="0"/>
        <v>14911582.489999995</v>
      </c>
      <c r="F40" s="173">
        <f t="shared" si="4"/>
        <v>15199821.889999993</v>
      </c>
      <c r="G40" s="173">
        <f t="shared" si="5"/>
        <v>9351431.6199999917</v>
      </c>
      <c r="H40" s="173">
        <f t="shared" si="6"/>
        <v>5632715.1600000039</v>
      </c>
    </row>
    <row r="41" spans="1:8" hidden="1" outlineLevel="1" x14ac:dyDescent="0.25">
      <c r="A41" s="176">
        <v>36038</v>
      </c>
      <c r="B41" s="173">
        <f t="shared" si="1"/>
        <v>9144541.5099999886</v>
      </c>
      <c r="C41" s="173">
        <f t="shared" si="2"/>
        <v>5508097.5900000054</v>
      </c>
      <c r="D41" s="173">
        <f t="shared" si="3"/>
        <v>210903.4899999999</v>
      </c>
      <c r="E41" s="173">
        <f t="shared" si="0"/>
        <v>14863542.589999994</v>
      </c>
      <c r="F41" s="173">
        <f t="shared" si="4"/>
        <v>15151781.989999995</v>
      </c>
      <c r="G41" s="173">
        <f t="shared" si="5"/>
        <v>9321875.8899999913</v>
      </c>
      <c r="H41" s="173">
        <f t="shared" si="6"/>
        <v>5614912.650000005</v>
      </c>
    </row>
    <row r="42" spans="1:8" hidden="1" outlineLevel="1" x14ac:dyDescent="0.25">
      <c r="A42" s="176">
        <v>36068</v>
      </c>
      <c r="B42" s="173">
        <f t="shared" si="1"/>
        <v>9114985.7799999882</v>
      </c>
      <c r="C42" s="173">
        <f t="shared" si="2"/>
        <v>5490295.0800000057</v>
      </c>
      <c r="D42" s="173">
        <f t="shared" si="3"/>
        <v>210221.8299999999</v>
      </c>
      <c r="E42" s="173">
        <f t="shared" si="0"/>
        <v>14815502.689999994</v>
      </c>
      <c r="F42" s="173">
        <f t="shared" si="4"/>
        <v>15103742.089999998</v>
      </c>
      <c r="G42" s="173">
        <f t="shared" si="5"/>
        <v>9292320.1599999908</v>
      </c>
      <c r="H42" s="173">
        <f t="shared" si="6"/>
        <v>5597110.1400000043</v>
      </c>
    </row>
    <row r="43" spans="1:8" hidden="1" outlineLevel="1" x14ac:dyDescent="0.25">
      <c r="A43" s="176">
        <v>36099</v>
      </c>
      <c r="B43" s="173">
        <f t="shared" si="1"/>
        <v>9085430.0499999877</v>
      </c>
      <c r="C43" s="173">
        <f t="shared" si="2"/>
        <v>5472492.5700000059</v>
      </c>
      <c r="D43" s="173">
        <f t="shared" si="3"/>
        <v>209540.1699999999</v>
      </c>
      <c r="E43" s="173">
        <f t="shared" si="0"/>
        <v>14767462.789999994</v>
      </c>
      <c r="F43" s="173">
        <f t="shared" si="4"/>
        <v>15055702.189999996</v>
      </c>
      <c r="G43" s="173">
        <f t="shared" si="5"/>
        <v>9262764.4299999904</v>
      </c>
      <c r="H43" s="173">
        <f t="shared" si="6"/>
        <v>5579307.6300000055</v>
      </c>
    </row>
    <row r="44" spans="1:8" hidden="1" outlineLevel="1" x14ac:dyDescent="0.25">
      <c r="A44" s="176">
        <v>36129</v>
      </c>
      <c r="B44" s="173">
        <f t="shared" si="1"/>
        <v>9055874.3199999873</v>
      </c>
      <c r="C44" s="173">
        <f t="shared" si="2"/>
        <v>5454690.0600000061</v>
      </c>
      <c r="D44" s="173">
        <f t="shared" si="3"/>
        <v>208858.50999999989</v>
      </c>
      <c r="E44" s="173">
        <f t="shared" si="0"/>
        <v>14719422.889999993</v>
      </c>
      <c r="F44" s="173">
        <f t="shared" si="4"/>
        <v>15007662.289999994</v>
      </c>
      <c r="G44" s="173">
        <f t="shared" si="5"/>
        <v>9233208.6999999899</v>
      </c>
      <c r="H44" s="173">
        <f t="shared" si="6"/>
        <v>5561505.1200000057</v>
      </c>
    </row>
    <row r="45" spans="1:8" hidden="1" outlineLevel="1" x14ac:dyDescent="0.25">
      <c r="A45" s="176">
        <v>36160</v>
      </c>
      <c r="B45" s="173">
        <f t="shared" si="1"/>
        <v>9026318.5899999868</v>
      </c>
      <c r="C45" s="173">
        <f t="shared" si="2"/>
        <v>5436887.5500000063</v>
      </c>
      <c r="D45" s="173">
        <f t="shared" si="3"/>
        <v>208176.84999999989</v>
      </c>
      <c r="E45" s="173">
        <f t="shared" si="0"/>
        <v>14671382.989999993</v>
      </c>
      <c r="F45" s="173">
        <f t="shared" si="4"/>
        <v>14959622.389999993</v>
      </c>
      <c r="G45" s="173">
        <f t="shared" si="5"/>
        <v>9203652.9699999895</v>
      </c>
      <c r="H45" s="173">
        <f t="shared" si="6"/>
        <v>5543702.610000005</v>
      </c>
    </row>
    <row r="46" spans="1:8" hidden="1" outlineLevel="1" x14ac:dyDescent="0.25">
      <c r="A46" s="176">
        <v>36191</v>
      </c>
      <c r="B46" s="173">
        <f t="shared" si="1"/>
        <v>8996762.8599999864</v>
      </c>
      <c r="C46" s="173">
        <f t="shared" si="2"/>
        <v>5419085.0400000066</v>
      </c>
      <c r="D46" s="173">
        <f t="shared" si="3"/>
        <v>207495.18999999989</v>
      </c>
      <c r="E46" s="173">
        <f t="shared" si="0"/>
        <v>14623343.089999992</v>
      </c>
      <c r="F46" s="173">
        <f t="shared" si="4"/>
        <v>14911582.489999995</v>
      </c>
      <c r="G46" s="173">
        <f t="shared" si="5"/>
        <v>9174097.239999989</v>
      </c>
      <c r="H46" s="173">
        <f t="shared" si="6"/>
        <v>5525900.1000000052</v>
      </c>
    </row>
    <row r="47" spans="1:8" hidden="1" outlineLevel="1" x14ac:dyDescent="0.25">
      <c r="A47" s="176">
        <v>36219</v>
      </c>
      <c r="B47" s="173">
        <f t="shared" si="1"/>
        <v>8967207.1299999859</v>
      </c>
      <c r="C47" s="173">
        <f t="shared" si="2"/>
        <v>5401282.5300000068</v>
      </c>
      <c r="D47" s="173">
        <f t="shared" si="3"/>
        <v>206813.52999999988</v>
      </c>
      <c r="E47" s="173">
        <f t="shared" si="0"/>
        <v>14575303.189999992</v>
      </c>
      <c r="F47" s="173">
        <f t="shared" si="4"/>
        <v>14863542.589999994</v>
      </c>
      <c r="G47" s="173">
        <f t="shared" si="5"/>
        <v>9144541.5099999886</v>
      </c>
      <c r="H47" s="173">
        <f t="shared" si="6"/>
        <v>5508097.5900000054</v>
      </c>
    </row>
    <row r="48" spans="1:8" hidden="1" outlineLevel="1" x14ac:dyDescent="0.25">
      <c r="A48" s="176">
        <v>36250</v>
      </c>
      <c r="B48" s="173">
        <f t="shared" si="1"/>
        <v>8937651.3999999855</v>
      </c>
      <c r="C48" s="173">
        <f t="shared" si="2"/>
        <v>5383480.020000007</v>
      </c>
      <c r="D48" s="173">
        <f t="shared" si="3"/>
        <v>206131.86999999988</v>
      </c>
      <c r="E48" s="173">
        <f t="shared" si="0"/>
        <v>14527263.289999992</v>
      </c>
      <c r="F48" s="173">
        <f t="shared" si="4"/>
        <v>14815502.689999996</v>
      </c>
      <c r="G48" s="173">
        <f t="shared" si="5"/>
        <v>9114985.7799999882</v>
      </c>
      <c r="H48" s="173">
        <f t="shared" si="6"/>
        <v>5490295.0800000066</v>
      </c>
    </row>
    <row r="49" spans="1:8" hidden="1" outlineLevel="1" x14ac:dyDescent="0.25">
      <c r="A49" s="176">
        <v>36280</v>
      </c>
      <c r="B49" s="173">
        <f t="shared" si="1"/>
        <v>8908095.669999985</v>
      </c>
      <c r="C49" s="173">
        <f t="shared" si="2"/>
        <v>5365677.5100000072</v>
      </c>
      <c r="D49" s="173">
        <f t="shared" si="3"/>
        <v>205450.20999999988</v>
      </c>
      <c r="E49" s="173">
        <f t="shared" si="0"/>
        <v>14479223.389999991</v>
      </c>
      <c r="F49" s="173">
        <f t="shared" si="4"/>
        <v>14767462.789999994</v>
      </c>
      <c r="G49" s="173">
        <f t="shared" si="5"/>
        <v>9085430.0499999877</v>
      </c>
      <c r="H49" s="173">
        <f t="shared" si="6"/>
        <v>5472492.5700000068</v>
      </c>
    </row>
    <row r="50" spans="1:8" hidden="1" outlineLevel="1" x14ac:dyDescent="0.25">
      <c r="A50" s="176">
        <v>36311</v>
      </c>
      <c r="B50" s="173">
        <f t="shared" si="1"/>
        <v>8878539.9399999846</v>
      </c>
      <c r="C50" s="173">
        <f t="shared" si="2"/>
        <v>5347875.0000000075</v>
      </c>
      <c r="D50" s="173">
        <f t="shared" si="3"/>
        <v>204768.54999999987</v>
      </c>
      <c r="E50" s="173">
        <f t="shared" si="0"/>
        <v>14431183.489999993</v>
      </c>
      <c r="F50" s="173">
        <f t="shared" si="4"/>
        <v>14719422.889999993</v>
      </c>
      <c r="G50" s="173">
        <f t="shared" si="5"/>
        <v>9055874.3199999873</v>
      </c>
      <c r="H50" s="173">
        <f t="shared" si="6"/>
        <v>5454690.0600000061</v>
      </c>
    </row>
    <row r="51" spans="1:8" hidden="1" outlineLevel="1" x14ac:dyDescent="0.25">
      <c r="A51" s="176">
        <v>36341</v>
      </c>
      <c r="B51" s="173">
        <f t="shared" si="1"/>
        <v>8848984.2099999841</v>
      </c>
      <c r="C51" s="173">
        <f t="shared" si="2"/>
        <v>5330072.4900000077</v>
      </c>
      <c r="D51" s="173">
        <f t="shared" si="3"/>
        <v>204086.88999999987</v>
      </c>
      <c r="E51" s="173">
        <f t="shared" si="0"/>
        <v>14383143.589999992</v>
      </c>
      <c r="F51" s="173">
        <f t="shared" si="4"/>
        <v>14671382.989999989</v>
      </c>
      <c r="G51" s="173">
        <f t="shared" si="5"/>
        <v>9026318.5899999868</v>
      </c>
      <c r="H51" s="173">
        <f t="shared" si="6"/>
        <v>5436887.5500000054</v>
      </c>
    </row>
    <row r="52" spans="1:8" hidden="1" outlineLevel="1" x14ac:dyDescent="0.25">
      <c r="A52" s="176">
        <v>36372</v>
      </c>
      <c r="B52" s="173">
        <f t="shared" si="1"/>
        <v>8819428.4799999837</v>
      </c>
      <c r="C52" s="173">
        <f t="shared" si="2"/>
        <v>5312269.9800000079</v>
      </c>
      <c r="D52" s="173">
        <f t="shared" si="3"/>
        <v>203405.22999999986</v>
      </c>
      <c r="E52" s="173">
        <f t="shared" si="0"/>
        <v>14335103.689999992</v>
      </c>
      <c r="F52" s="173">
        <f t="shared" si="4"/>
        <v>14623343.089999994</v>
      </c>
      <c r="G52" s="173">
        <f t="shared" si="5"/>
        <v>8996762.8599999864</v>
      </c>
      <c r="H52" s="173">
        <f t="shared" si="6"/>
        <v>5419085.0400000075</v>
      </c>
    </row>
    <row r="53" spans="1:8" hidden="1" outlineLevel="1" x14ac:dyDescent="0.25">
      <c r="A53" s="176">
        <v>36403</v>
      </c>
      <c r="B53" s="173">
        <f t="shared" si="1"/>
        <v>8789872.7499999832</v>
      </c>
      <c r="C53" s="173">
        <f t="shared" si="2"/>
        <v>5294467.4700000081</v>
      </c>
      <c r="D53" s="173">
        <f t="shared" si="3"/>
        <v>202723.56999999986</v>
      </c>
      <c r="E53" s="173">
        <f t="shared" si="0"/>
        <v>14287063.789999992</v>
      </c>
      <c r="F53" s="173">
        <f t="shared" si="4"/>
        <v>14575303.189999996</v>
      </c>
      <c r="G53" s="173">
        <f t="shared" si="5"/>
        <v>8967207.1299999859</v>
      </c>
      <c r="H53" s="173">
        <f t="shared" si="6"/>
        <v>5401282.5300000068</v>
      </c>
    </row>
    <row r="54" spans="1:8" hidden="1" outlineLevel="1" x14ac:dyDescent="0.25">
      <c r="A54" s="176">
        <v>36433</v>
      </c>
      <c r="B54" s="173">
        <f t="shared" si="1"/>
        <v>8760317.0199999828</v>
      </c>
      <c r="C54" s="173">
        <f t="shared" si="2"/>
        <v>5276664.9600000083</v>
      </c>
      <c r="D54" s="173">
        <f t="shared" si="3"/>
        <v>202041.90999999986</v>
      </c>
      <c r="E54" s="173">
        <f t="shared" si="0"/>
        <v>14239023.889999991</v>
      </c>
      <c r="F54" s="173">
        <f t="shared" si="4"/>
        <v>14527263.289999992</v>
      </c>
      <c r="G54" s="173">
        <f t="shared" si="5"/>
        <v>8937651.3999999855</v>
      </c>
      <c r="H54" s="173">
        <f t="shared" si="6"/>
        <v>5383480.020000007</v>
      </c>
    </row>
    <row r="55" spans="1:8" hidden="1" outlineLevel="1" x14ac:dyDescent="0.25">
      <c r="A55" s="176">
        <v>36464</v>
      </c>
      <c r="B55" s="173">
        <f t="shared" si="1"/>
        <v>8730761.2899999823</v>
      </c>
      <c r="C55" s="173">
        <f t="shared" si="2"/>
        <v>5258862.4500000086</v>
      </c>
      <c r="D55" s="173">
        <f t="shared" si="3"/>
        <v>201360.24999999985</v>
      </c>
      <c r="E55" s="173">
        <f t="shared" si="0"/>
        <v>14190983.989999991</v>
      </c>
      <c r="F55" s="173">
        <f t="shared" si="4"/>
        <v>14479223.389999991</v>
      </c>
      <c r="G55" s="173">
        <f t="shared" si="5"/>
        <v>8908095.669999985</v>
      </c>
      <c r="H55" s="173">
        <f t="shared" si="6"/>
        <v>5365677.5100000072</v>
      </c>
    </row>
    <row r="56" spans="1:8" hidden="1" outlineLevel="1" x14ac:dyDescent="0.25">
      <c r="A56" s="176">
        <v>36494</v>
      </c>
      <c r="B56" s="173">
        <f t="shared" si="1"/>
        <v>8701205.5599999819</v>
      </c>
      <c r="C56" s="173">
        <f t="shared" si="2"/>
        <v>5241059.9400000088</v>
      </c>
      <c r="D56" s="173">
        <f t="shared" si="3"/>
        <v>200678.58999999985</v>
      </c>
      <c r="E56" s="173">
        <f t="shared" si="0"/>
        <v>14142944.089999991</v>
      </c>
      <c r="F56" s="173">
        <f t="shared" si="4"/>
        <v>14431183.489999989</v>
      </c>
      <c r="G56" s="173">
        <f t="shared" si="5"/>
        <v>8878539.9399999846</v>
      </c>
      <c r="H56" s="173">
        <f t="shared" si="6"/>
        <v>5347875.0000000084</v>
      </c>
    </row>
    <row r="57" spans="1:8" hidden="1" outlineLevel="1" x14ac:dyDescent="0.25">
      <c r="A57" s="176">
        <v>36525</v>
      </c>
      <c r="B57" s="173">
        <f t="shared" si="1"/>
        <v>8671649.8299999814</v>
      </c>
      <c r="C57" s="173">
        <f t="shared" si="2"/>
        <v>5223257.430000009</v>
      </c>
      <c r="D57" s="173">
        <f t="shared" si="3"/>
        <v>199996.92999999985</v>
      </c>
      <c r="E57" s="173">
        <f t="shared" si="0"/>
        <v>14094904.18999999</v>
      </c>
      <c r="F57" s="173">
        <f t="shared" si="4"/>
        <v>14383143.589999994</v>
      </c>
      <c r="G57" s="173">
        <f t="shared" si="5"/>
        <v>8848984.2099999841</v>
      </c>
      <c r="H57" s="173">
        <f t="shared" si="6"/>
        <v>5330072.4900000086</v>
      </c>
    </row>
    <row r="58" spans="1:8" hidden="1" outlineLevel="1" x14ac:dyDescent="0.25">
      <c r="A58" s="176">
        <v>36556</v>
      </c>
      <c r="B58" s="173">
        <f t="shared" si="1"/>
        <v>8642094.099999981</v>
      </c>
      <c r="C58" s="173">
        <f t="shared" si="2"/>
        <v>5205454.9200000092</v>
      </c>
      <c r="D58" s="173">
        <f t="shared" si="3"/>
        <v>199315.26999999984</v>
      </c>
      <c r="E58" s="173">
        <f t="shared" si="0"/>
        <v>14046864.28999999</v>
      </c>
      <c r="F58" s="173">
        <f t="shared" si="4"/>
        <v>14335103.689999992</v>
      </c>
      <c r="G58" s="173">
        <f t="shared" si="5"/>
        <v>8819428.4799999837</v>
      </c>
      <c r="H58" s="173">
        <f t="shared" si="6"/>
        <v>5312269.9800000079</v>
      </c>
    </row>
    <row r="59" spans="1:8" hidden="1" outlineLevel="1" x14ac:dyDescent="0.25">
      <c r="A59" s="176">
        <v>36585</v>
      </c>
      <c r="B59" s="173">
        <f t="shared" si="1"/>
        <v>8612538.3699999806</v>
      </c>
      <c r="C59" s="173">
        <f t="shared" si="2"/>
        <v>5187652.4100000095</v>
      </c>
      <c r="D59" s="173">
        <f t="shared" si="3"/>
        <v>198633.60999999984</v>
      </c>
      <c r="E59" s="173">
        <f t="shared" si="0"/>
        <v>13998824.389999989</v>
      </c>
      <c r="F59" s="173">
        <f t="shared" si="4"/>
        <v>14287063.789999992</v>
      </c>
      <c r="G59" s="173">
        <f t="shared" si="5"/>
        <v>8789872.7499999832</v>
      </c>
      <c r="H59" s="173">
        <f t="shared" si="6"/>
        <v>5294467.4700000072</v>
      </c>
    </row>
    <row r="60" spans="1:8" hidden="1" outlineLevel="1" x14ac:dyDescent="0.25">
      <c r="A60" s="176">
        <v>36616</v>
      </c>
      <c r="B60" s="173">
        <f t="shared" si="1"/>
        <v>8582982.6399999801</v>
      </c>
      <c r="C60" s="173">
        <f t="shared" si="2"/>
        <v>5169849.9000000097</v>
      </c>
      <c r="D60" s="173">
        <f t="shared" si="3"/>
        <v>197951.94999999984</v>
      </c>
      <c r="E60" s="173">
        <f t="shared" si="0"/>
        <v>13950784.489999989</v>
      </c>
      <c r="F60" s="173">
        <f t="shared" si="4"/>
        <v>14239023.889999991</v>
      </c>
      <c r="G60" s="173">
        <f t="shared" si="5"/>
        <v>8760317.0199999828</v>
      </c>
      <c r="H60" s="173">
        <f t="shared" si="6"/>
        <v>5276664.9600000093</v>
      </c>
    </row>
    <row r="61" spans="1:8" hidden="1" outlineLevel="1" x14ac:dyDescent="0.25">
      <c r="A61" s="176">
        <v>36646</v>
      </c>
      <c r="B61" s="173">
        <f t="shared" si="1"/>
        <v>8553426.9099999797</v>
      </c>
      <c r="C61" s="173">
        <f t="shared" si="2"/>
        <v>5152047.3900000099</v>
      </c>
      <c r="D61" s="173">
        <f t="shared" si="3"/>
        <v>197270.28999999983</v>
      </c>
      <c r="E61" s="173">
        <f t="shared" si="0"/>
        <v>13902744.589999989</v>
      </c>
      <c r="F61" s="173">
        <f t="shared" si="4"/>
        <v>14190983.989999989</v>
      </c>
      <c r="G61" s="173">
        <f t="shared" si="5"/>
        <v>8730761.2899999823</v>
      </c>
      <c r="H61" s="173">
        <f t="shared" si="6"/>
        <v>5258862.4500000086</v>
      </c>
    </row>
    <row r="62" spans="1:8" hidden="1" outlineLevel="1" x14ac:dyDescent="0.25">
      <c r="A62" s="176">
        <v>36677</v>
      </c>
      <c r="B62" s="173">
        <f t="shared" si="1"/>
        <v>8523871.1799999792</v>
      </c>
      <c r="C62" s="173">
        <f t="shared" si="2"/>
        <v>5134244.8800000101</v>
      </c>
      <c r="D62" s="173">
        <f t="shared" si="3"/>
        <v>196588.62999999983</v>
      </c>
      <c r="E62" s="173">
        <f t="shared" si="0"/>
        <v>13854704.689999988</v>
      </c>
      <c r="F62" s="173">
        <f t="shared" si="4"/>
        <v>14142944.089999991</v>
      </c>
      <c r="G62" s="173">
        <f t="shared" si="5"/>
        <v>8701205.5599999819</v>
      </c>
      <c r="H62" s="173">
        <f t="shared" si="6"/>
        <v>5241059.9400000088</v>
      </c>
    </row>
    <row r="63" spans="1:8" hidden="1" outlineLevel="1" x14ac:dyDescent="0.25">
      <c r="A63" s="176">
        <v>36707</v>
      </c>
      <c r="B63" s="173">
        <f t="shared" si="1"/>
        <v>8494315.4499999788</v>
      </c>
      <c r="C63" s="173">
        <f t="shared" si="2"/>
        <v>5116442.3700000104</v>
      </c>
      <c r="D63" s="173">
        <f t="shared" si="3"/>
        <v>195906.96999999983</v>
      </c>
      <c r="E63" s="173">
        <f t="shared" si="0"/>
        <v>13806664.78999999</v>
      </c>
      <c r="F63" s="173">
        <f t="shared" si="4"/>
        <v>14094904.189999992</v>
      </c>
      <c r="G63" s="173">
        <f t="shared" si="5"/>
        <v>8671649.8299999814</v>
      </c>
      <c r="H63" s="173">
        <f t="shared" si="6"/>
        <v>5223257.430000009</v>
      </c>
    </row>
    <row r="64" spans="1:8" hidden="1" outlineLevel="1" x14ac:dyDescent="0.25">
      <c r="A64" s="176">
        <v>36738</v>
      </c>
      <c r="B64" s="173">
        <f t="shared" si="1"/>
        <v>8464759.7199999783</v>
      </c>
      <c r="C64" s="173">
        <f t="shared" si="2"/>
        <v>5098639.8600000106</v>
      </c>
      <c r="D64" s="173">
        <f t="shared" si="3"/>
        <v>195225.30999999982</v>
      </c>
      <c r="E64" s="173">
        <f t="shared" si="0"/>
        <v>13758624.889999989</v>
      </c>
      <c r="F64" s="173">
        <f t="shared" si="4"/>
        <v>14046864.289999992</v>
      </c>
      <c r="G64" s="173">
        <f t="shared" si="5"/>
        <v>8642094.099999981</v>
      </c>
      <c r="H64" s="173">
        <f t="shared" si="6"/>
        <v>5205454.9200000102</v>
      </c>
    </row>
    <row r="65" spans="1:8" hidden="1" outlineLevel="1" x14ac:dyDescent="0.25">
      <c r="A65" s="176">
        <v>36769</v>
      </c>
      <c r="B65" s="173">
        <f t="shared" si="1"/>
        <v>8435203.9899999779</v>
      </c>
      <c r="C65" s="173">
        <f t="shared" si="2"/>
        <v>5080837.3500000108</v>
      </c>
      <c r="D65" s="173">
        <f t="shared" si="3"/>
        <v>194543.64999999982</v>
      </c>
      <c r="E65" s="173">
        <f t="shared" si="0"/>
        <v>13710584.989999989</v>
      </c>
      <c r="F65" s="173">
        <f t="shared" si="4"/>
        <v>13998824.389999988</v>
      </c>
      <c r="G65" s="173">
        <f t="shared" si="5"/>
        <v>8612538.3699999806</v>
      </c>
      <c r="H65" s="173">
        <f t="shared" si="6"/>
        <v>5187652.4100000104</v>
      </c>
    </row>
    <row r="66" spans="1:8" hidden="1" outlineLevel="1" x14ac:dyDescent="0.25">
      <c r="A66" s="176">
        <v>36799</v>
      </c>
      <c r="B66" s="173">
        <f t="shared" si="1"/>
        <v>8405648.2599999774</v>
      </c>
      <c r="C66" s="173">
        <f t="shared" si="2"/>
        <v>5063034.840000011</v>
      </c>
      <c r="D66" s="173">
        <f t="shared" si="3"/>
        <v>193861.98999999982</v>
      </c>
      <c r="E66" s="173">
        <f t="shared" si="0"/>
        <v>13662545.089999989</v>
      </c>
      <c r="F66" s="173">
        <f t="shared" si="4"/>
        <v>13950784.489999989</v>
      </c>
      <c r="G66" s="173">
        <f t="shared" si="5"/>
        <v>8582982.6399999801</v>
      </c>
      <c r="H66" s="173">
        <f t="shared" si="6"/>
        <v>5169849.9000000097</v>
      </c>
    </row>
    <row r="67" spans="1:8" hidden="1" outlineLevel="1" x14ac:dyDescent="0.25">
      <c r="A67" s="176">
        <v>36830</v>
      </c>
      <c r="B67" s="173">
        <f t="shared" si="1"/>
        <v>8376092.529999977</v>
      </c>
      <c r="C67" s="173">
        <f t="shared" si="2"/>
        <v>5045232.3300000113</v>
      </c>
      <c r="D67" s="173">
        <f t="shared" si="3"/>
        <v>193180.32999999981</v>
      </c>
      <c r="E67" s="173">
        <f t="shared" si="0"/>
        <v>13614505.189999988</v>
      </c>
      <c r="F67" s="173">
        <f t="shared" si="4"/>
        <v>13902744.589999989</v>
      </c>
      <c r="G67" s="173">
        <f t="shared" si="5"/>
        <v>8553426.9099999797</v>
      </c>
      <c r="H67" s="173">
        <f t="shared" si="6"/>
        <v>5152047.390000009</v>
      </c>
    </row>
    <row r="68" spans="1:8" hidden="1" outlineLevel="1" x14ac:dyDescent="0.25">
      <c r="A68" s="176">
        <v>36860</v>
      </c>
      <c r="B68" s="173">
        <f t="shared" si="1"/>
        <v>8346536.7999999765</v>
      </c>
      <c r="C68" s="173">
        <f t="shared" si="2"/>
        <v>5027429.8200000115</v>
      </c>
      <c r="D68" s="173">
        <f t="shared" si="3"/>
        <v>192498.66999999981</v>
      </c>
      <c r="E68" s="173">
        <f t="shared" si="0"/>
        <v>13566465.289999988</v>
      </c>
      <c r="F68" s="173">
        <f t="shared" si="4"/>
        <v>13854704.689999992</v>
      </c>
      <c r="G68" s="173">
        <f t="shared" si="5"/>
        <v>8523871.1799999792</v>
      </c>
      <c r="H68" s="173">
        <f t="shared" si="6"/>
        <v>5134244.8800000111</v>
      </c>
    </row>
    <row r="69" spans="1:8" hidden="1" outlineLevel="1" x14ac:dyDescent="0.25">
      <c r="A69" s="176">
        <v>36891</v>
      </c>
      <c r="B69" s="173">
        <f t="shared" si="1"/>
        <v>8316981.0699999761</v>
      </c>
      <c r="C69" s="173">
        <f t="shared" si="2"/>
        <v>5009627.3100000117</v>
      </c>
      <c r="D69" s="173">
        <f t="shared" si="3"/>
        <v>191817.00999999981</v>
      </c>
      <c r="E69" s="173">
        <f t="shared" si="0"/>
        <v>13518425.389999988</v>
      </c>
      <c r="F69" s="173">
        <f t="shared" si="4"/>
        <v>13806664.78999999</v>
      </c>
      <c r="G69" s="173">
        <f t="shared" si="5"/>
        <v>8494315.4499999788</v>
      </c>
      <c r="H69" s="173">
        <f t="shared" si="6"/>
        <v>5116442.3700000104</v>
      </c>
    </row>
    <row r="70" spans="1:8" hidden="1" outlineLevel="1" x14ac:dyDescent="0.25">
      <c r="A70" s="176">
        <v>36922</v>
      </c>
      <c r="B70" s="173">
        <f t="shared" si="1"/>
        <v>8287425.3399999756</v>
      </c>
      <c r="C70" s="173">
        <f t="shared" si="2"/>
        <v>4991824.8000000119</v>
      </c>
      <c r="D70" s="173">
        <f t="shared" si="3"/>
        <v>191135.3499999998</v>
      </c>
      <c r="E70" s="173">
        <f t="shared" si="0"/>
        <v>13470385.489999987</v>
      </c>
      <c r="F70" s="173">
        <f t="shared" si="4"/>
        <v>13758624.889999988</v>
      </c>
      <c r="G70" s="173">
        <f t="shared" si="5"/>
        <v>8464759.7199999783</v>
      </c>
      <c r="H70" s="173">
        <f t="shared" si="6"/>
        <v>5098639.8600000106</v>
      </c>
    </row>
    <row r="71" spans="1:8" hidden="1" outlineLevel="1" x14ac:dyDescent="0.25">
      <c r="A71" s="176">
        <v>36950</v>
      </c>
      <c r="B71" s="173">
        <f t="shared" si="1"/>
        <v>8257869.6099999752</v>
      </c>
      <c r="C71" s="173">
        <f t="shared" si="2"/>
        <v>4974022.2900000121</v>
      </c>
      <c r="D71" s="173">
        <f t="shared" si="3"/>
        <v>190453.6899999998</v>
      </c>
      <c r="E71" s="173">
        <f t="shared" si="0"/>
        <v>13422345.589999987</v>
      </c>
      <c r="F71" s="173">
        <f t="shared" si="4"/>
        <v>13710584.989999987</v>
      </c>
      <c r="G71" s="173">
        <f t="shared" si="5"/>
        <v>8435203.9899999779</v>
      </c>
      <c r="H71" s="173">
        <f t="shared" si="6"/>
        <v>5080837.3500000108</v>
      </c>
    </row>
    <row r="72" spans="1:8" hidden="1" outlineLevel="1" x14ac:dyDescent="0.25">
      <c r="A72" s="176">
        <v>36981</v>
      </c>
      <c r="B72" s="173">
        <f t="shared" si="1"/>
        <v>8228313.8799999747</v>
      </c>
      <c r="C72" s="173">
        <f t="shared" si="2"/>
        <v>4956219.7800000124</v>
      </c>
      <c r="D72" s="173">
        <f t="shared" si="3"/>
        <v>189772.0299999998</v>
      </c>
      <c r="E72" s="173">
        <f t="shared" si="0"/>
        <v>13374305.689999986</v>
      </c>
      <c r="F72" s="173">
        <f t="shared" si="4"/>
        <v>13662545.089999989</v>
      </c>
      <c r="G72" s="173">
        <f t="shared" si="5"/>
        <v>8405648.2599999774</v>
      </c>
      <c r="H72" s="173">
        <f t="shared" si="6"/>
        <v>5063034.840000012</v>
      </c>
    </row>
    <row r="73" spans="1:8" hidden="1" outlineLevel="1" x14ac:dyDescent="0.25">
      <c r="A73" s="176">
        <v>37011</v>
      </c>
      <c r="B73" s="173">
        <f t="shared" si="1"/>
        <v>8198758.1499999743</v>
      </c>
      <c r="C73" s="173">
        <f t="shared" si="2"/>
        <v>4938417.2700000126</v>
      </c>
      <c r="D73" s="173">
        <f t="shared" si="3"/>
        <v>189090.36999999979</v>
      </c>
      <c r="E73" s="173">
        <f t="shared" si="0"/>
        <v>13326265.789999986</v>
      </c>
      <c r="F73" s="173">
        <f t="shared" si="4"/>
        <v>13614505.189999988</v>
      </c>
      <c r="G73" s="173">
        <f t="shared" si="5"/>
        <v>8376092.529999976</v>
      </c>
      <c r="H73" s="173">
        <f t="shared" si="6"/>
        <v>5045232.3300000122</v>
      </c>
    </row>
    <row r="74" spans="1:8" hidden="1" outlineLevel="1" x14ac:dyDescent="0.25">
      <c r="A74" s="176">
        <v>37042</v>
      </c>
      <c r="B74" s="173">
        <f t="shared" si="1"/>
        <v>8169202.4199999738</v>
      </c>
      <c r="C74" s="173">
        <f t="shared" si="2"/>
        <v>4920614.7600000128</v>
      </c>
      <c r="D74" s="173">
        <f t="shared" si="3"/>
        <v>188408.70999999979</v>
      </c>
      <c r="E74" s="173">
        <f t="shared" si="0"/>
        <v>13278225.889999986</v>
      </c>
      <c r="F74" s="173">
        <f t="shared" si="4"/>
        <v>13566465.28999999</v>
      </c>
      <c r="G74" s="173">
        <f t="shared" si="5"/>
        <v>8346536.7999999775</v>
      </c>
      <c r="H74" s="173">
        <f t="shared" si="6"/>
        <v>5027429.8200000115</v>
      </c>
    </row>
    <row r="75" spans="1:8" hidden="1" outlineLevel="1" x14ac:dyDescent="0.25">
      <c r="A75" s="176">
        <v>37072</v>
      </c>
      <c r="B75" s="173">
        <f t="shared" si="1"/>
        <v>8139646.6899999734</v>
      </c>
      <c r="C75" s="173">
        <f t="shared" si="2"/>
        <v>4902812.250000013</v>
      </c>
      <c r="D75" s="173">
        <f t="shared" si="3"/>
        <v>187727.04999999978</v>
      </c>
      <c r="E75" s="173">
        <f t="shared" si="0"/>
        <v>13230185.989999985</v>
      </c>
      <c r="F75" s="173">
        <f t="shared" si="4"/>
        <v>13518425.389999988</v>
      </c>
      <c r="G75" s="173">
        <f t="shared" si="5"/>
        <v>8316981.069999977</v>
      </c>
      <c r="H75" s="173">
        <f t="shared" si="6"/>
        <v>5009627.3100000108</v>
      </c>
    </row>
    <row r="76" spans="1:8" hidden="1" outlineLevel="1" x14ac:dyDescent="0.25">
      <c r="A76" s="176">
        <v>37103</v>
      </c>
      <c r="B76" s="173">
        <f t="shared" si="1"/>
        <v>8110090.959999973</v>
      </c>
      <c r="C76" s="173">
        <f t="shared" si="2"/>
        <v>4885009.7400000133</v>
      </c>
      <c r="D76" s="173">
        <f t="shared" si="3"/>
        <v>187045.38999999978</v>
      </c>
      <c r="E76" s="173">
        <f t="shared" si="0"/>
        <v>13182146.089999987</v>
      </c>
      <c r="F76" s="173">
        <f t="shared" si="4"/>
        <v>13470385.489999987</v>
      </c>
      <c r="G76" s="173">
        <f t="shared" si="5"/>
        <v>8287425.3399999747</v>
      </c>
      <c r="H76" s="173">
        <f t="shared" si="6"/>
        <v>4991824.8000000129</v>
      </c>
    </row>
    <row r="77" spans="1:8" hidden="1" outlineLevel="1" x14ac:dyDescent="0.25">
      <c r="A77" s="176">
        <v>37134</v>
      </c>
      <c r="B77" s="173">
        <f t="shared" si="1"/>
        <v>8080535.2299999725</v>
      </c>
      <c r="C77" s="173">
        <f t="shared" si="2"/>
        <v>4867207.2300000135</v>
      </c>
      <c r="D77" s="173">
        <f t="shared" si="3"/>
        <v>186363.72999999978</v>
      </c>
      <c r="E77" s="173">
        <f t="shared" si="0"/>
        <v>13134106.189999986</v>
      </c>
      <c r="F77" s="173">
        <f t="shared" si="4"/>
        <v>13422345.589999983</v>
      </c>
      <c r="G77" s="173">
        <f t="shared" si="5"/>
        <v>8257869.6099999743</v>
      </c>
      <c r="H77" s="173">
        <f t="shared" si="6"/>
        <v>4974022.2900000121</v>
      </c>
    </row>
    <row r="78" spans="1:8" hidden="1" outlineLevel="1" x14ac:dyDescent="0.25">
      <c r="A78" s="176">
        <v>37164</v>
      </c>
      <c r="B78" s="173">
        <f t="shared" si="1"/>
        <v>8050979.4999999721</v>
      </c>
      <c r="C78" s="173">
        <f t="shared" si="2"/>
        <v>4849404.7200000137</v>
      </c>
      <c r="D78" s="173">
        <f t="shared" si="3"/>
        <v>185682.06999999977</v>
      </c>
      <c r="E78" s="173">
        <f t="shared" si="0"/>
        <v>13086066.289999986</v>
      </c>
      <c r="F78" s="173">
        <f t="shared" si="4"/>
        <v>13374305.689999988</v>
      </c>
      <c r="G78" s="173">
        <f t="shared" si="5"/>
        <v>8228313.8799999757</v>
      </c>
      <c r="H78" s="173">
        <f t="shared" si="6"/>
        <v>4956219.7800000124</v>
      </c>
    </row>
    <row r="79" spans="1:8" hidden="1" outlineLevel="1" x14ac:dyDescent="0.25">
      <c r="A79" s="176">
        <v>37195</v>
      </c>
      <c r="B79" s="173">
        <f t="shared" si="1"/>
        <v>8021423.7699999716</v>
      </c>
      <c r="C79" s="173">
        <f t="shared" si="2"/>
        <v>4831602.2100000139</v>
      </c>
      <c r="D79" s="173">
        <f t="shared" si="3"/>
        <v>185000.40999999977</v>
      </c>
      <c r="E79" s="173">
        <f t="shared" ref="E79:E142" si="7">SUM(B79:D79)</f>
        <v>13038026.389999986</v>
      </c>
      <c r="F79" s="173">
        <f t="shared" si="4"/>
        <v>13326265.789999986</v>
      </c>
      <c r="G79" s="173">
        <f t="shared" si="5"/>
        <v>8198758.1499999752</v>
      </c>
      <c r="H79" s="173">
        <f t="shared" si="6"/>
        <v>4938417.2700000126</v>
      </c>
    </row>
    <row r="80" spans="1:8" hidden="1" outlineLevel="1" x14ac:dyDescent="0.25">
      <c r="A80" s="176">
        <v>37225</v>
      </c>
      <c r="B80" s="173">
        <f t="shared" ref="B80:B143" si="8">B79-$B$13</f>
        <v>7991868.0399999712</v>
      </c>
      <c r="C80" s="173">
        <f t="shared" ref="C80:C143" si="9">C79-$C$13</f>
        <v>4813799.7000000142</v>
      </c>
      <c r="D80" s="173">
        <f t="shared" ref="D80:D143" si="10">D79-$D$13</f>
        <v>184318.74999999977</v>
      </c>
      <c r="E80" s="173">
        <f t="shared" si="7"/>
        <v>12989986.489999985</v>
      </c>
      <c r="F80" s="173">
        <f t="shared" si="4"/>
        <v>13278225.889999986</v>
      </c>
      <c r="G80" s="173">
        <f t="shared" si="5"/>
        <v>8169202.4199999729</v>
      </c>
      <c r="H80" s="173">
        <f t="shared" si="6"/>
        <v>4920614.7600000137</v>
      </c>
    </row>
    <row r="81" spans="1:8" hidden="1" outlineLevel="1" x14ac:dyDescent="0.25">
      <c r="A81" s="176">
        <v>37256</v>
      </c>
      <c r="B81" s="173">
        <f t="shared" si="8"/>
        <v>7962312.3099999707</v>
      </c>
      <c r="C81" s="173">
        <f t="shared" si="9"/>
        <v>4795997.1900000144</v>
      </c>
      <c r="D81" s="173">
        <f t="shared" si="10"/>
        <v>183637.08999999976</v>
      </c>
      <c r="E81" s="173">
        <f t="shared" si="7"/>
        <v>12941946.589999985</v>
      </c>
      <c r="F81" s="173">
        <f t="shared" si="4"/>
        <v>13230185.989999987</v>
      </c>
      <c r="G81" s="173">
        <f t="shared" si="5"/>
        <v>8139646.6899999725</v>
      </c>
      <c r="H81" s="173">
        <f t="shared" si="6"/>
        <v>4902812.250000014</v>
      </c>
    </row>
    <row r="82" spans="1:8" hidden="1" outlineLevel="1" x14ac:dyDescent="0.25">
      <c r="A82" s="176">
        <v>37287</v>
      </c>
      <c r="B82" s="173">
        <f t="shared" si="8"/>
        <v>7932756.5799999703</v>
      </c>
      <c r="C82" s="173">
        <f t="shared" si="9"/>
        <v>4778194.6800000146</v>
      </c>
      <c r="D82" s="173">
        <f t="shared" si="10"/>
        <v>182955.42999999976</v>
      </c>
      <c r="E82" s="173">
        <f t="shared" si="7"/>
        <v>12893906.689999985</v>
      </c>
      <c r="F82" s="173">
        <f t="shared" si="4"/>
        <v>13182146.089999983</v>
      </c>
      <c r="G82" s="173">
        <f t="shared" si="5"/>
        <v>8110090.9599999739</v>
      </c>
      <c r="H82" s="173">
        <f t="shared" si="6"/>
        <v>4885009.7400000133</v>
      </c>
    </row>
    <row r="83" spans="1:8" hidden="1" outlineLevel="1" x14ac:dyDescent="0.25">
      <c r="A83" s="176">
        <v>37315</v>
      </c>
      <c r="B83" s="173">
        <f t="shared" si="8"/>
        <v>7903200.8499999698</v>
      </c>
      <c r="C83" s="173">
        <f t="shared" si="9"/>
        <v>4760392.1700000148</v>
      </c>
      <c r="D83" s="173">
        <f t="shared" si="10"/>
        <v>182273.76999999976</v>
      </c>
      <c r="E83" s="173">
        <f t="shared" si="7"/>
        <v>12845866.789999984</v>
      </c>
      <c r="F83" s="173">
        <f t="shared" si="4"/>
        <v>13134106.189999988</v>
      </c>
      <c r="G83" s="173">
        <f t="shared" si="5"/>
        <v>8080535.2299999734</v>
      </c>
      <c r="H83" s="173">
        <f t="shared" si="6"/>
        <v>4867207.2300000126</v>
      </c>
    </row>
    <row r="84" spans="1:8" hidden="1" outlineLevel="1" x14ac:dyDescent="0.25">
      <c r="A84" s="176">
        <v>37346</v>
      </c>
      <c r="B84" s="173">
        <f t="shared" si="8"/>
        <v>7873645.1199999694</v>
      </c>
      <c r="C84" s="173">
        <f t="shared" si="9"/>
        <v>4742589.6600000151</v>
      </c>
      <c r="D84" s="173">
        <f t="shared" si="10"/>
        <v>181592.10999999975</v>
      </c>
      <c r="E84" s="173">
        <f t="shared" si="7"/>
        <v>12797826.889999984</v>
      </c>
      <c r="F84" s="173">
        <f t="shared" si="4"/>
        <v>13086066.289999986</v>
      </c>
      <c r="G84" s="173">
        <f t="shared" si="5"/>
        <v>8050979.4999999711</v>
      </c>
      <c r="H84" s="173">
        <f t="shared" si="6"/>
        <v>4849404.7200000146</v>
      </c>
    </row>
    <row r="85" spans="1:8" hidden="1" outlineLevel="1" x14ac:dyDescent="0.25">
      <c r="A85" s="176">
        <v>37376</v>
      </c>
      <c r="B85" s="173">
        <f t="shared" si="8"/>
        <v>7844089.3899999689</v>
      </c>
      <c r="C85" s="173">
        <f t="shared" si="9"/>
        <v>4724787.1500000153</v>
      </c>
      <c r="D85" s="173">
        <f t="shared" si="10"/>
        <v>180910.44999999975</v>
      </c>
      <c r="E85" s="173">
        <f t="shared" si="7"/>
        <v>12749786.989999983</v>
      </c>
      <c r="F85" s="173">
        <f t="shared" si="4"/>
        <v>13038026.389999986</v>
      </c>
      <c r="G85" s="173">
        <f t="shared" si="5"/>
        <v>8021423.7699999707</v>
      </c>
      <c r="H85" s="173">
        <f t="shared" si="6"/>
        <v>4831602.2100000139</v>
      </c>
    </row>
    <row r="86" spans="1:8" hidden="1" outlineLevel="1" x14ac:dyDescent="0.25">
      <c r="A86" s="176">
        <v>37407</v>
      </c>
      <c r="B86" s="173">
        <f t="shared" si="8"/>
        <v>7814533.6599999685</v>
      </c>
      <c r="C86" s="173">
        <f t="shared" si="9"/>
        <v>4706984.6400000155</v>
      </c>
      <c r="D86" s="173">
        <f t="shared" si="10"/>
        <v>180228.78999999975</v>
      </c>
      <c r="E86" s="173">
        <f t="shared" si="7"/>
        <v>12701747.089999983</v>
      </c>
      <c r="F86" s="173">
        <f t="shared" si="4"/>
        <v>12989986.489999985</v>
      </c>
      <c r="G86" s="173">
        <f t="shared" si="5"/>
        <v>7991868.0399999721</v>
      </c>
      <c r="H86" s="173">
        <f t="shared" si="6"/>
        <v>4813799.7000000142</v>
      </c>
    </row>
    <row r="87" spans="1:8" hidden="1" outlineLevel="1" x14ac:dyDescent="0.25">
      <c r="A87" s="176">
        <v>37437</v>
      </c>
      <c r="B87" s="173">
        <f t="shared" si="8"/>
        <v>7784977.929999968</v>
      </c>
      <c r="C87" s="173">
        <f t="shared" si="9"/>
        <v>4689182.1300000157</v>
      </c>
      <c r="D87" s="173">
        <f t="shared" si="10"/>
        <v>179547.12999999974</v>
      </c>
      <c r="E87" s="173">
        <f t="shared" si="7"/>
        <v>12653707.189999983</v>
      </c>
      <c r="F87" s="173">
        <f t="shared" si="4"/>
        <v>12941946.589999983</v>
      </c>
      <c r="G87" s="173">
        <f t="shared" si="5"/>
        <v>7962312.3099999717</v>
      </c>
      <c r="H87" s="173">
        <f t="shared" si="6"/>
        <v>4795997.1900000144</v>
      </c>
    </row>
    <row r="88" spans="1:8" hidden="1" outlineLevel="1" x14ac:dyDescent="0.25">
      <c r="A88" s="176">
        <v>37468</v>
      </c>
      <c r="B88" s="173">
        <f t="shared" si="8"/>
        <v>7755422.1999999676</v>
      </c>
      <c r="C88" s="173">
        <f t="shared" si="9"/>
        <v>4671379.6200000159</v>
      </c>
      <c r="D88" s="173">
        <f t="shared" si="10"/>
        <v>178865.46999999974</v>
      </c>
      <c r="E88" s="173">
        <f t="shared" si="7"/>
        <v>12605667.289999984</v>
      </c>
      <c r="F88" s="173">
        <f t="shared" si="4"/>
        <v>12893906.689999985</v>
      </c>
      <c r="G88" s="173">
        <f t="shared" si="5"/>
        <v>7932756.5799999693</v>
      </c>
      <c r="H88" s="173">
        <f t="shared" si="6"/>
        <v>4778194.6800000155</v>
      </c>
    </row>
    <row r="89" spans="1:8" hidden="1" outlineLevel="1" x14ac:dyDescent="0.25">
      <c r="A89" s="176">
        <v>37499</v>
      </c>
      <c r="B89" s="173">
        <f t="shared" si="8"/>
        <v>7725866.4699999671</v>
      </c>
      <c r="C89" s="173">
        <f t="shared" si="9"/>
        <v>4653577.1100000162</v>
      </c>
      <c r="D89" s="173">
        <f t="shared" si="10"/>
        <v>178183.80999999974</v>
      </c>
      <c r="E89" s="173">
        <f t="shared" si="7"/>
        <v>12557627.389999984</v>
      </c>
      <c r="F89" s="173">
        <f t="shared" si="4"/>
        <v>12845866.789999986</v>
      </c>
      <c r="G89" s="173">
        <f t="shared" si="5"/>
        <v>7903200.8499999689</v>
      </c>
      <c r="H89" s="173">
        <f t="shared" si="6"/>
        <v>4760392.1700000158</v>
      </c>
    </row>
    <row r="90" spans="1:8" hidden="1" outlineLevel="1" x14ac:dyDescent="0.25">
      <c r="A90" s="176">
        <v>37529</v>
      </c>
      <c r="B90" s="173">
        <f t="shared" si="8"/>
        <v>7696310.7399999667</v>
      </c>
      <c r="C90" s="173">
        <f t="shared" si="9"/>
        <v>4635774.6000000164</v>
      </c>
      <c r="D90" s="173">
        <f t="shared" si="10"/>
        <v>177502.14999999973</v>
      </c>
      <c r="E90" s="173">
        <f t="shared" si="7"/>
        <v>12509587.489999983</v>
      </c>
      <c r="F90" s="173">
        <f t="shared" si="4"/>
        <v>12797826.889999984</v>
      </c>
      <c r="G90" s="173">
        <f t="shared" si="5"/>
        <v>7873645.1199999703</v>
      </c>
      <c r="H90" s="173">
        <f t="shared" si="6"/>
        <v>4742589.6600000151</v>
      </c>
    </row>
    <row r="91" spans="1:8" hidden="1" outlineLevel="1" x14ac:dyDescent="0.25">
      <c r="A91" s="176">
        <v>37560</v>
      </c>
      <c r="B91" s="173">
        <f t="shared" si="8"/>
        <v>7666755.0099999662</v>
      </c>
      <c r="C91" s="173">
        <f t="shared" si="9"/>
        <v>4617972.0900000166</v>
      </c>
      <c r="D91" s="173">
        <f t="shared" si="10"/>
        <v>176820.48999999973</v>
      </c>
      <c r="E91" s="173">
        <f t="shared" si="7"/>
        <v>12461547.589999983</v>
      </c>
      <c r="F91" s="173">
        <f t="shared" ref="F91:F154" si="11">(E79+E91+SUM(E80:E90)*2)/24</f>
        <v>12749786.989999985</v>
      </c>
      <c r="G91" s="173">
        <f t="shared" ref="G91:G154" si="12">(B79+B91+SUM(B80:B90)*2)/24</f>
        <v>7844089.3899999699</v>
      </c>
      <c r="H91" s="173">
        <f t="shared" ref="H91:H154" si="13">(C79+C91+SUM(C80:C90)*2)/24</f>
        <v>4724787.1500000143</v>
      </c>
    </row>
    <row r="92" spans="1:8" hidden="1" outlineLevel="1" x14ac:dyDescent="0.25">
      <c r="A92" s="176">
        <v>37590</v>
      </c>
      <c r="B92" s="173">
        <f t="shared" si="8"/>
        <v>7637199.2799999658</v>
      </c>
      <c r="C92" s="173">
        <f t="shared" si="9"/>
        <v>4600169.5800000168</v>
      </c>
      <c r="D92" s="173">
        <f t="shared" si="10"/>
        <v>176138.82999999973</v>
      </c>
      <c r="E92" s="173">
        <f t="shared" si="7"/>
        <v>12413507.689999983</v>
      </c>
      <c r="F92" s="173">
        <f t="shared" si="11"/>
        <v>12701747.089999983</v>
      </c>
      <c r="G92" s="173">
        <f t="shared" si="12"/>
        <v>7814533.6599999676</v>
      </c>
      <c r="H92" s="173">
        <f t="shared" si="13"/>
        <v>4706984.6400000164</v>
      </c>
    </row>
    <row r="93" spans="1:8" hidden="1" outlineLevel="1" x14ac:dyDescent="0.25">
      <c r="A93" s="176">
        <v>37621</v>
      </c>
      <c r="B93" s="173">
        <f t="shared" si="8"/>
        <v>7607643.5499999654</v>
      </c>
      <c r="C93" s="173">
        <f t="shared" si="9"/>
        <v>4582367.0700000171</v>
      </c>
      <c r="D93" s="173">
        <f t="shared" si="10"/>
        <v>175457.16999999972</v>
      </c>
      <c r="E93" s="173">
        <f t="shared" si="7"/>
        <v>12365467.789999982</v>
      </c>
      <c r="F93" s="173">
        <f t="shared" si="11"/>
        <v>12653707.189999983</v>
      </c>
      <c r="G93" s="173">
        <f t="shared" si="12"/>
        <v>7784977.9299999671</v>
      </c>
      <c r="H93" s="173">
        <f t="shared" si="13"/>
        <v>4689182.1300000157</v>
      </c>
    </row>
    <row r="94" spans="1:8" hidden="1" outlineLevel="1" x14ac:dyDescent="0.25">
      <c r="A94" s="176">
        <v>37652</v>
      </c>
      <c r="B94" s="173">
        <f t="shared" si="8"/>
        <v>7578087.8199999649</v>
      </c>
      <c r="C94" s="173">
        <f t="shared" si="9"/>
        <v>4564564.5600000173</v>
      </c>
      <c r="D94" s="173">
        <f t="shared" si="10"/>
        <v>174775.50999999972</v>
      </c>
      <c r="E94" s="173">
        <f t="shared" si="7"/>
        <v>12317427.889999982</v>
      </c>
      <c r="F94" s="173">
        <f t="shared" si="11"/>
        <v>12605667.289999984</v>
      </c>
      <c r="G94" s="173">
        <f t="shared" si="12"/>
        <v>7755422.1999999685</v>
      </c>
      <c r="H94" s="173">
        <f t="shared" si="13"/>
        <v>4671379.6200000159</v>
      </c>
    </row>
    <row r="95" spans="1:8" hidden="1" outlineLevel="1" x14ac:dyDescent="0.25">
      <c r="A95" s="176">
        <v>37680</v>
      </c>
      <c r="B95" s="173">
        <f t="shared" si="8"/>
        <v>7548532.0899999645</v>
      </c>
      <c r="C95" s="173">
        <f t="shared" si="9"/>
        <v>4546762.0500000175</v>
      </c>
      <c r="D95" s="173">
        <f t="shared" si="10"/>
        <v>174093.84999999971</v>
      </c>
      <c r="E95" s="173">
        <f t="shared" si="7"/>
        <v>12269387.989999982</v>
      </c>
      <c r="F95" s="173">
        <f t="shared" si="11"/>
        <v>12557627.389999984</v>
      </c>
      <c r="G95" s="173">
        <f t="shared" si="12"/>
        <v>7725866.4699999681</v>
      </c>
      <c r="H95" s="173">
        <f t="shared" si="13"/>
        <v>4653577.1100000162</v>
      </c>
    </row>
    <row r="96" spans="1:8" hidden="1" outlineLevel="1" x14ac:dyDescent="0.25">
      <c r="A96" s="176">
        <v>37711</v>
      </c>
      <c r="B96" s="173">
        <f t="shared" si="8"/>
        <v>7518976.359999964</v>
      </c>
      <c r="C96" s="173">
        <f t="shared" si="9"/>
        <v>4528959.5400000177</v>
      </c>
      <c r="D96" s="173">
        <f t="shared" si="10"/>
        <v>173412.18999999971</v>
      </c>
      <c r="E96" s="173">
        <f t="shared" si="7"/>
        <v>12221348.089999981</v>
      </c>
      <c r="F96" s="173">
        <f t="shared" si="11"/>
        <v>12509587.489999985</v>
      </c>
      <c r="G96" s="173">
        <f t="shared" si="12"/>
        <v>7696310.7399999658</v>
      </c>
      <c r="H96" s="173">
        <f t="shared" si="13"/>
        <v>4635774.6000000173</v>
      </c>
    </row>
    <row r="97" spans="1:8" hidden="1" outlineLevel="1" x14ac:dyDescent="0.25">
      <c r="A97" s="176">
        <v>37741</v>
      </c>
      <c r="B97" s="173">
        <f t="shared" si="8"/>
        <v>7489420.6299999636</v>
      </c>
      <c r="C97" s="173">
        <f t="shared" si="9"/>
        <v>4511157.030000018</v>
      </c>
      <c r="D97" s="173">
        <f t="shared" si="10"/>
        <v>172730.52999999971</v>
      </c>
      <c r="E97" s="173">
        <f t="shared" si="7"/>
        <v>12173308.189999981</v>
      </c>
      <c r="F97" s="173">
        <f t="shared" si="11"/>
        <v>12461547.589999981</v>
      </c>
      <c r="G97" s="173">
        <f t="shared" si="12"/>
        <v>7666755.0099999653</v>
      </c>
      <c r="H97" s="173">
        <f t="shared" si="13"/>
        <v>4617972.0900000175</v>
      </c>
    </row>
    <row r="98" spans="1:8" hidden="1" outlineLevel="1" x14ac:dyDescent="0.25">
      <c r="A98" s="176">
        <v>37772</v>
      </c>
      <c r="B98" s="173">
        <f t="shared" si="8"/>
        <v>7459864.8999999631</v>
      </c>
      <c r="C98" s="173">
        <f t="shared" si="9"/>
        <v>4493354.5200000182</v>
      </c>
      <c r="D98" s="173">
        <f t="shared" si="10"/>
        <v>172048.8699999997</v>
      </c>
      <c r="E98" s="173">
        <f t="shared" si="7"/>
        <v>12125268.28999998</v>
      </c>
      <c r="F98" s="173">
        <f t="shared" si="11"/>
        <v>12413507.689999983</v>
      </c>
      <c r="G98" s="173">
        <f t="shared" si="12"/>
        <v>7637199.2799999667</v>
      </c>
      <c r="H98" s="173">
        <f t="shared" si="13"/>
        <v>4600169.5800000168</v>
      </c>
    </row>
    <row r="99" spans="1:8" ht="14.25" hidden="1" customHeight="1" outlineLevel="1" x14ac:dyDescent="0.25">
      <c r="A99" s="176">
        <v>37802</v>
      </c>
      <c r="B99" s="173">
        <f t="shared" si="8"/>
        <v>7430309.1699999627</v>
      </c>
      <c r="C99" s="173">
        <f t="shared" si="9"/>
        <v>4475552.0100000184</v>
      </c>
      <c r="D99" s="173">
        <f t="shared" si="10"/>
        <v>171367.2099999997</v>
      </c>
      <c r="E99" s="173">
        <f t="shared" si="7"/>
        <v>12077228.38999998</v>
      </c>
      <c r="F99" s="173">
        <f t="shared" si="11"/>
        <v>12365467.789999984</v>
      </c>
      <c r="G99" s="173">
        <f t="shared" si="12"/>
        <v>7607643.5499999663</v>
      </c>
      <c r="H99" s="173">
        <f t="shared" si="13"/>
        <v>4582367.0700000161</v>
      </c>
    </row>
    <row r="100" spans="1:8" hidden="1" outlineLevel="1" x14ac:dyDescent="0.25">
      <c r="A100" s="176">
        <v>37833</v>
      </c>
      <c r="B100" s="173">
        <f t="shared" si="8"/>
        <v>7400753.4399999622</v>
      </c>
      <c r="C100" s="173">
        <f t="shared" si="9"/>
        <v>4457749.5000000186</v>
      </c>
      <c r="D100" s="173">
        <f t="shared" si="10"/>
        <v>170685.5499999997</v>
      </c>
      <c r="E100" s="173">
        <f t="shared" si="7"/>
        <v>12029188.48999998</v>
      </c>
      <c r="F100" s="173">
        <f t="shared" si="11"/>
        <v>12317427.889999984</v>
      </c>
      <c r="G100" s="173">
        <f t="shared" si="12"/>
        <v>7578087.819999964</v>
      </c>
      <c r="H100" s="173">
        <f t="shared" si="13"/>
        <v>4564564.5600000182</v>
      </c>
    </row>
    <row r="101" spans="1:8" hidden="1" outlineLevel="1" x14ac:dyDescent="0.25">
      <c r="A101" s="176">
        <v>37864</v>
      </c>
      <c r="B101" s="173">
        <f t="shared" si="8"/>
        <v>7371197.7099999618</v>
      </c>
      <c r="C101" s="173">
        <f t="shared" si="9"/>
        <v>4439946.9900000188</v>
      </c>
      <c r="D101" s="173">
        <f t="shared" si="10"/>
        <v>170003.88999999969</v>
      </c>
      <c r="E101" s="173">
        <f t="shared" si="7"/>
        <v>11981148.589999981</v>
      </c>
      <c r="F101" s="173">
        <f t="shared" si="11"/>
        <v>12269387.989999982</v>
      </c>
      <c r="G101" s="173">
        <f t="shared" si="12"/>
        <v>7548532.0899999635</v>
      </c>
      <c r="H101" s="173">
        <f t="shared" si="13"/>
        <v>4546762.0500000175</v>
      </c>
    </row>
    <row r="102" spans="1:8" hidden="1" outlineLevel="1" x14ac:dyDescent="0.25">
      <c r="A102" s="176">
        <v>37894</v>
      </c>
      <c r="B102" s="173">
        <f t="shared" si="8"/>
        <v>7341641.9799999613</v>
      </c>
      <c r="C102" s="173">
        <f t="shared" si="9"/>
        <v>4422144.4800000191</v>
      </c>
      <c r="D102" s="173">
        <f t="shared" si="10"/>
        <v>169322.22999999969</v>
      </c>
      <c r="E102" s="173">
        <f t="shared" si="7"/>
        <v>11933108.689999981</v>
      </c>
      <c r="F102" s="173">
        <f t="shared" si="11"/>
        <v>12221348.089999981</v>
      </c>
      <c r="G102" s="173">
        <f t="shared" si="12"/>
        <v>7518976.3599999649</v>
      </c>
      <c r="H102" s="173">
        <f t="shared" si="13"/>
        <v>4528959.5400000177</v>
      </c>
    </row>
    <row r="103" spans="1:8" hidden="1" outlineLevel="1" x14ac:dyDescent="0.25">
      <c r="A103" s="176">
        <v>37925</v>
      </c>
      <c r="B103" s="173">
        <f t="shared" si="8"/>
        <v>7312086.2499999609</v>
      </c>
      <c r="C103" s="173">
        <f t="shared" si="9"/>
        <v>4404341.9700000193</v>
      </c>
      <c r="D103" s="173">
        <f t="shared" si="10"/>
        <v>168640.56999999969</v>
      </c>
      <c r="E103" s="173">
        <f t="shared" si="7"/>
        <v>11885068.78999998</v>
      </c>
      <c r="F103" s="173">
        <f t="shared" si="11"/>
        <v>12173308.189999981</v>
      </c>
      <c r="G103" s="173">
        <f t="shared" si="12"/>
        <v>7489420.6299999645</v>
      </c>
      <c r="H103" s="173">
        <f t="shared" si="13"/>
        <v>4511157.030000018</v>
      </c>
    </row>
    <row r="104" spans="1:8" hidden="1" outlineLevel="1" x14ac:dyDescent="0.25">
      <c r="A104" s="176">
        <v>37955</v>
      </c>
      <c r="B104" s="173">
        <f t="shared" si="8"/>
        <v>7282530.5199999604</v>
      </c>
      <c r="C104" s="173">
        <f t="shared" si="9"/>
        <v>4386539.4600000195</v>
      </c>
      <c r="D104" s="173">
        <f t="shared" si="10"/>
        <v>167958.90999999968</v>
      </c>
      <c r="E104" s="173">
        <f t="shared" si="7"/>
        <v>11837028.88999998</v>
      </c>
      <c r="F104" s="173">
        <f t="shared" si="11"/>
        <v>12125268.289999982</v>
      </c>
      <c r="G104" s="173">
        <f t="shared" si="12"/>
        <v>7459864.8999999622</v>
      </c>
      <c r="H104" s="173">
        <f t="shared" si="13"/>
        <v>4493354.5200000191</v>
      </c>
    </row>
    <row r="105" spans="1:8" hidden="1" outlineLevel="1" x14ac:dyDescent="0.25">
      <c r="A105" s="176">
        <v>37986</v>
      </c>
      <c r="B105" s="173">
        <f t="shared" si="8"/>
        <v>7252974.78999996</v>
      </c>
      <c r="C105" s="173">
        <f t="shared" si="9"/>
        <v>4368736.9500000197</v>
      </c>
      <c r="D105" s="173">
        <f t="shared" si="10"/>
        <v>167277.24999999968</v>
      </c>
      <c r="E105" s="173">
        <f t="shared" si="7"/>
        <v>11788988.98999998</v>
      </c>
      <c r="F105" s="173">
        <f t="shared" si="11"/>
        <v>12077228.389999984</v>
      </c>
      <c r="G105" s="173">
        <f t="shared" si="12"/>
        <v>7430309.1699999617</v>
      </c>
      <c r="H105" s="173">
        <f t="shared" si="13"/>
        <v>4475552.0100000193</v>
      </c>
    </row>
    <row r="106" spans="1:8" hidden="1" outlineLevel="1" x14ac:dyDescent="0.25">
      <c r="A106" s="176">
        <v>38017</v>
      </c>
      <c r="B106" s="173">
        <f t="shared" si="8"/>
        <v>7223419.0599999595</v>
      </c>
      <c r="C106" s="173">
        <f t="shared" si="9"/>
        <v>4350934.44000002</v>
      </c>
      <c r="D106" s="173">
        <f t="shared" si="10"/>
        <v>166595.58999999968</v>
      </c>
      <c r="E106" s="173">
        <f t="shared" si="7"/>
        <v>11740949.089999979</v>
      </c>
      <c r="F106" s="173">
        <f t="shared" si="11"/>
        <v>12029188.48999998</v>
      </c>
      <c r="G106" s="173">
        <f t="shared" si="12"/>
        <v>7400753.4399999632</v>
      </c>
      <c r="H106" s="173">
        <f t="shared" si="13"/>
        <v>4457749.5000000186</v>
      </c>
    </row>
    <row r="107" spans="1:8" hidden="1" outlineLevel="1" x14ac:dyDescent="0.25">
      <c r="A107" s="176">
        <v>38046</v>
      </c>
      <c r="B107" s="173">
        <f t="shared" si="8"/>
        <v>7193863.3299999591</v>
      </c>
      <c r="C107" s="173">
        <f t="shared" si="9"/>
        <v>4333131.9300000202</v>
      </c>
      <c r="D107" s="173">
        <f t="shared" si="10"/>
        <v>165913.92999999967</v>
      </c>
      <c r="E107" s="173">
        <f t="shared" si="7"/>
        <v>11692909.189999979</v>
      </c>
      <c r="F107" s="173">
        <f t="shared" si="11"/>
        <v>11981148.589999981</v>
      </c>
      <c r="G107" s="173">
        <f t="shared" si="12"/>
        <v>7371197.7099999608</v>
      </c>
      <c r="H107" s="173">
        <f t="shared" si="13"/>
        <v>4439946.9900000179</v>
      </c>
    </row>
    <row r="108" spans="1:8" hidden="1" outlineLevel="1" x14ac:dyDescent="0.25">
      <c r="A108" s="176">
        <v>38077</v>
      </c>
      <c r="B108" s="173">
        <f t="shared" si="8"/>
        <v>7164307.5999999586</v>
      </c>
      <c r="C108" s="173">
        <f t="shared" si="9"/>
        <v>4315329.4200000204</v>
      </c>
      <c r="D108" s="173">
        <f t="shared" si="10"/>
        <v>165232.26999999967</v>
      </c>
      <c r="E108" s="173">
        <f t="shared" si="7"/>
        <v>11644869.289999979</v>
      </c>
      <c r="F108" s="173">
        <f t="shared" si="11"/>
        <v>11933108.689999981</v>
      </c>
      <c r="G108" s="173">
        <f t="shared" si="12"/>
        <v>7341641.9799999604</v>
      </c>
      <c r="H108" s="173">
        <f t="shared" si="13"/>
        <v>4422144.48000002</v>
      </c>
    </row>
    <row r="109" spans="1:8" hidden="1" outlineLevel="1" x14ac:dyDescent="0.25">
      <c r="A109" s="176">
        <v>38107</v>
      </c>
      <c r="B109" s="173">
        <f t="shared" si="8"/>
        <v>7134751.8699999582</v>
      </c>
      <c r="C109" s="173">
        <f t="shared" si="9"/>
        <v>4297526.9100000206</v>
      </c>
      <c r="D109" s="173">
        <f t="shared" si="10"/>
        <v>164550.60999999967</v>
      </c>
      <c r="E109" s="173">
        <f t="shared" si="7"/>
        <v>11596829.389999978</v>
      </c>
      <c r="F109" s="173">
        <f t="shared" si="11"/>
        <v>11885068.789999982</v>
      </c>
      <c r="G109" s="173">
        <f t="shared" si="12"/>
        <v>7312086.24999996</v>
      </c>
      <c r="H109" s="173">
        <f t="shared" si="13"/>
        <v>4404341.9700000193</v>
      </c>
    </row>
    <row r="110" spans="1:8" hidden="1" outlineLevel="1" x14ac:dyDescent="0.25">
      <c r="A110" s="176">
        <v>38138</v>
      </c>
      <c r="B110" s="173">
        <f t="shared" si="8"/>
        <v>7105196.1399999578</v>
      </c>
      <c r="C110" s="173">
        <f t="shared" si="9"/>
        <v>4279724.4000000209</v>
      </c>
      <c r="D110" s="173">
        <f t="shared" si="10"/>
        <v>163868.94999999966</v>
      </c>
      <c r="E110" s="173">
        <f t="shared" si="7"/>
        <v>11548789.489999978</v>
      </c>
      <c r="F110" s="173">
        <f t="shared" si="11"/>
        <v>11837028.88999998</v>
      </c>
      <c r="G110" s="173">
        <f t="shared" si="12"/>
        <v>7282530.5199999614</v>
      </c>
      <c r="H110" s="173">
        <f t="shared" si="13"/>
        <v>4386539.4600000195</v>
      </c>
    </row>
    <row r="111" spans="1:8" hidden="1" outlineLevel="1" x14ac:dyDescent="0.25">
      <c r="A111" s="176">
        <v>38168</v>
      </c>
      <c r="B111" s="173">
        <f t="shared" si="8"/>
        <v>7075640.4099999573</v>
      </c>
      <c r="C111" s="173">
        <f t="shared" si="9"/>
        <v>4261921.8900000211</v>
      </c>
      <c r="D111" s="173">
        <f t="shared" si="10"/>
        <v>163187.28999999966</v>
      </c>
      <c r="E111" s="173">
        <f t="shared" si="7"/>
        <v>11500749.589999977</v>
      </c>
      <c r="F111" s="173">
        <f t="shared" si="11"/>
        <v>11788988.98999998</v>
      </c>
      <c r="G111" s="173">
        <f t="shared" si="12"/>
        <v>7252974.7899999591</v>
      </c>
      <c r="H111" s="173">
        <f t="shared" si="13"/>
        <v>4368736.9500000197</v>
      </c>
    </row>
    <row r="112" spans="1:8" hidden="1" outlineLevel="1" x14ac:dyDescent="0.25">
      <c r="A112" s="176">
        <v>38199</v>
      </c>
      <c r="B112" s="173">
        <f t="shared" si="8"/>
        <v>7046084.6799999569</v>
      </c>
      <c r="C112" s="173">
        <f t="shared" si="9"/>
        <v>4244119.3800000213</v>
      </c>
      <c r="D112" s="173">
        <f t="shared" si="10"/>
        <v>162505.62999999966</v>
      </c>
      <c r="E112" s="173">
        <f t="shared" si="7"/>
        <v>11452709.689999977</v>
      </c>
      <c r="F112" s="173">
        <f t="shared" si="11"/>
        <v>11740949.089999979</v>
      </c>
      <c r="G112" s="173">
        <f t="shared" si="12"/>
        <v>7223419.0599999586</v>
      </c>
      <c r="H112" s="173">
        <f t="shared" si="13"/>
        <v>4350934.4400000209</v>
      </c>
    </row>
    <row r="113" spans="1:8" hidden="1" outlineLevel="1" x14ac:dyDescent="0.25">
      <c r="A113" s="176">
        <v>38230</v>
      </c>
      <c r="B113" s="173">
        <f t="shared" si="8"/>
        <v>7016528.9499999564</v>
      </c>
      <c r="C113" s="173">
        <f t="shared" si="9"/>
        <v>4226316.8700000215</v>
      </c>
      <c r="D113" s="173">
        <f t="shared" si="10"/>
        <v>161823.96999999965</v>
      </c>
      <c r="E113" s="173">
        <f t="shared" si="7"/>
        <v>11404669.789999977</v>
      </c>
      <c r="F113" s="173">
        <f t="shared" si="11"/>
        <v>11692909.189999981</v>
      </c>
      <c r="G113" s="173">
        <f t="shared" si="12"/>
        <v>7193863.3299999582</v>
      </c>
      <c r="H113" s="173">
        <f t="shared" si="13"/>
        <v>4333131.9300000211</v>
      </c>
    </row>
    <row r="114" spans="1:8" hidden="1" outlineLevel="1" x14ac:dyDescent="0.25">
      <c r="A114" s="176">
        <v>38260</v>
      </c>
      <c r="B114" s="173">
        <f t="shared" si="8"/>
        <v>6986973.219999956</v>
      </c>
      <c r="C114" s="173">
        <f t="shared" si="9"/>
        <v>4208514.3600000218</v>
      </c>
      <c r="D114" s="173">
        <f t="shared" si="10"/>
        <v>161142.30999999965</v>
      </c>
      <c r="E114" s="173">
        <f t="shared" si="7"/>
        <v>11356629.889999978</v>
      </c>
      <c r="F114" s="173">
        <f t="shared" si="11"/>
        <v>11644869.289999979</v>
      </c>
      <c r="G114" s="173">
        <f t="shared" si="12"/>
        <v>7164307.5999999596</v>
      </c>
      <c r="H114" s="173">
        <f t="shared" si="13"/>
        <v>4315329.4200000204</v>
      </c>
    </row>
    <row r="115" spans="1:8" hidden="1" outlineLevel="1" x14ac:dyDescent="0.25">
      <c r="A115" s="176">
        <v>38291</v>
      </c>
      <c r="B115" s="173">
        <f t="shared" si="8"/>
        <v>6957417.4899999555</v>
      </c>
      <c r="C115" s="173">
        <f t="shared" si="9"/>
        <v>4190711.850000022</v>
      </c>
      <c r="D115" s="173">
        <f t="shared" si="10"/>
        <v>160460.64999999964</v>
      </c>
      <c r="E115" s="173">
        <f t="shared" si="7"/>
        <v>11308589.989999978</v>
      </c>
      <c r="F115" s="173">
        <f t="shared" si="11"/>
        <v>11596829.38999998</v>
      </c>
      <c r="G115" s="173">
        <f t="shared" si="12"/>
        <v>7134751.8699999573</v>
      </c>
      <c r="H115" s="173">
        <f t="shared" si="13"/>
        <v>4297526.9100000197</v>
      </c>
    </row>
    <row r="116" spans="1:8" hidden="1" outlineLevel="1" x14ac:dyDescent="0.25">
      <c r="A116" s="176">
        <v>38321</v>
      </c>
      <c r="B116" s="173">
        <f t="shared" si="8"/>
        <v>6927861.7599999551</v>
      </c>
      <c r="C116" s="173">
        <f t="shared" si="9"/>
        <v>4172909.3400000222</v>
      </c>
      <c r="D116" s="173">
        <f t="shared" si="10"/>
        <v>159778.98999999964</v>
      </c>
      <c r="E116" s="173">
        <f t="shared" si="7"/>
        <v>11260550.089999977</v>
      </c>
      <c r="F116" s="173">
        <f t="shared" si="11"/>
        <v>11548789.489999978</v>
      </c>
      <c r="G116" s="173">
        <f t="shared" si="12"/>
        <v>7105196.1399999568</v>
      </c>
      <c r="H116" s="173">
        <f t="shared" si="13"/>
        <v>4279724.4000000218</v>
      </c>
    </row>
    <row r="117" spans="1:8" hidden="1" outlineLevel="1" x14ac:dyDescent="0.25">
      <c r="A117" s="176">
        <v>38352</v>
      </c>
      <c r="B117" s="173">
        <f t="shared" si="8"/>
        <v>6898306.0299999546</v>
      </c>
      <c r="C117" s="173">
        <f t="shared" si="9"/>
        <v>4155106.8300000224</v>
      </c>
      <c r="D117" s="173">
        <f t="shared" si="10"/>
        <v>159097.32999999964</v>
      </c>
      <c r="E117" s="173">
        <f t="shared" si="7"/>
        <v>11212510.189999977</v>
      </c>
      <c r="F117" s="173">
        <f t="shared" si="11"/>
        <v>11500749.589999979</v>
      </c>
      <c r="G117" s="173">
        <f t="shared" si="12"/>
        <v>7075640.4099999564</v>
      </c>
      <c r="H117" s="173">
        <f t="shared" si="13"/>
        <v>4261921.8900000211</v>
      </c>
    </row>
    <row r="118" spans="1:8" hidden="1" outlineLevel="1" x14ac:dyDescent="0.25">
      <c r="A118" s="176">
        <v>38383</v>
      </c>
      <c r="B118" s="173">
        <f t="shared" si="8"/>
        <v>6868750.2999999542</v>
      </c>
      <c r="C118" s="173">
        <f t="shared" si="9"/>
        <v>4137304.3200000226</v>
      </c>
      <c r="D118" s="173">
        <f t="shared" si="10"/>
        <v>158415.66999999963</v>
      </c>
      <c r="E118" s="173">
        <f t="shared" si="7"/>
        <v>11164470.289999977</v>
      </c>
      <c r="F118" s="173">
        <f t="shared" si="11"/>
        <v>11452709.689999981</v>
      </c>
      <c r="G118" s="173">
        <f t="shared" si="12"/>
        <v>7046084.6799999578</v>
      </c>
      <c r="H118" s="173">
        <f t="shared" si="13"/>
        <v>4244119.3800000213</v>
      </c>
    </row>
    <row r="119" spans="1:8" hidden="1" outlineLevel="1" x14ac:dyDescent="0.25">
      <c r="A119" s="176">
        <v>38411</v>
      </c>
      <c r="B119" s="173">
        <f t="shared" si="8"/>
        <v>6839194.5699999537</v>
      </c>
      <c r="C119" s="173">
        <f t="shared" si="9"/>
        <v>4119501.8100000229</v>
      </c>
      <c r="D119" s="173">
        <f t="shared" si="10"/>
        <v>157734.00999999963</v>
      </c>
      <c r="E119" s="173">
        <f t="shared" si="7"/>
        <v>11116430.389999976</v>
      </c>
      <c r="F119" s="173">
        <f t="shared" si="11"/>
        <v>11404669.789999977</v>
      </c>
      <c r="G119" s="173">
        <f t="shared" si="12"/>
        <v>7016528.9499999555</v>
      </c>
      <c r="H119" s="173">
        <f t="shared" si="13"/>
        <v>4226316.8700000215</v>
      </c>
    </row>
    <row r="120" spans="1:8" hidden="1" outlineLevel="1" x14ac:dyDescent="0.25">
      <c r="A120" s="176">
        <v>38442</v>
      </c>
      <c r="B120" s="173">
        <f t="shared" si="8"/>
        <v>6809638.8399999533</v>
      </c>
      <c r="C120" s="173">
        <f t="shared" si="9"/>
        <v>4101699.3000000231</v>
      </c>
      <c r="D120" s="173">
        <f t="shared" si="10"/>
        <v>157052.34999999963</v>
      </c>
      <c r="E120" s="173">
        <f t="shared" si="7"/>
        <v>11068390.489999976</v>
      </c>
      <c r="F120" s="173">
        <f t="shared" si="11"/>
        <v>11356629.889999978</v>
      </c>
      <c r="G120" s="173">
        <f t="shared" si="12"/>
        <v>6986973.219999955</v>
      </c>
      <c r="H120" s="173">
        <f t="shared" si="13"/>
        <v>4208514.3600000227</v>
      </c>
    </row>
    <row r="121" spans="1:8" hidden="1" outlineLevel="1" x14ac:dyDescent="0.25">
      <c r="A121" s="176">
        <v>38472</v>
      </c>
      <c r="B121" s="173">
        <f t="shared" si="8"/>
        <v>6780083.1099999528</v>
      </c>
      <c r="C121" s="173">
        <f t="shared" si="9"/>
        <v>4083896.7900000233</v>
      </c>
      <c r="D121" s="173">
        <f t="shared" si="10"/>
        <v>156370.68999999962</v>
      </c>
      <c r="E121" s="173">
        <f t="shared" si="7"/>
        <v>11020350.589999976</v>
      </c>
      <c r="F121" s="173">
        <f t="shared" si="11"/>
        <v>11308589.989999978</v>
      </c>
      <c r="G121" s="173">
        <f t="shared" si="12"/>
        <v>6957417.4899999546</v>
      </c>
      <c r="H121" s="173">
        <f t="shared" si="13"/>
        <v>4190711.8500000224</v>
      </c>
    </row>
    <row r="122" spans="1:8" hidden="1" outlineLevel="1" x14ac:dyDescent="0.25">
      <c r="A122" s="176">
        <v>38503</v>
      </c>
      <c r="B122" s="173">
        <f t="shared" si="8"/>
        <v>6750527.3799999524</v>
      </c>
      <c r="C122" s="173">
        <f t="shared" si="9"/>
        <v>4066094.2800000235</v>
      </c>
      <c r="D122" s="173">
        <f t="shared" si="10"/>
        <v>155689.02999999962</v>
      </c>
      <c r="E122" s="173">
        <f t="shared" si="7"/>
        <v>10972310.689999975</v>
      </c>
      <c r="F122" s="173">
        <f t="shared" si="11"/>
        <v>11260550.089999979</v>
      </c>
      <c r="G122" s="173">
        <f t="shared" si="12"/>
        <v>6927861.759999956</v>
      </c>
      <c r="H122" s="173">
        <f t="shared" si="13"/>
        <v>4172909.3400000222</v>
      </c>
    </row>
    <row r="123" spans="1:8" hidden="1" outlineLevel="1" x14ac:dyDescent="0.25">
      <c r="A123" s="176">
        <v>38533</v>
      </c>
      <c r="B123" s="173">
        <f t="shared" si="8"/>
        <v>6720971.6499999519</v>
      </c>
      <c r="C123" s="173">
        <f t="shared" si="9"/>
        <v>4048291.7700000238</v>
      </c>
      <c r="D123" s="173">
        <f t="shared" si="10"/>
        <v>155007.36999999962</v>
      </c>
      <c r="E123" s="173">
        <f t="shared" si="7"/>
        <v>10924270.789999975</v>
      </c>
      <c r="F123" s="173">
        <f t="shared" si="11"/>
        <v>11212510.189999975</v>
      </c>
      <c r="G123" s="173">
        <f t="shared" si="12"/>
        <v>6898306.0299999537</v>
      </c>
      <c r="H123" s="173">
        <f t="shared" si="13"/>
        <v>4155106.830000022</v>
      </c>
    </row>
    <row r="124" spans="1:8" hidden="1" outlineLevel="1" x14ac:dyDescent="0.25">
      <c r="A124" s="176">
        <v>38564</v>
      </c>
      <c r="B124" s="173">
        <f t="shared" si="8"/>
        <v>6691415.9199999515</v>
      </c>
      <c r="C124" s="173">
        <f t="shared" si="9"/>
        <v>4030489.260000024</v>
      </c>
      <c r="D124" s="173">
        <f t="shared" si="10"/>
        <v>154325.70999999961</v>
      </c>
      <c r="E124" s="173">
        <f t="shared" si="7"/>
        <v>10876230.889999975</v>
      </c>
      <c r="F124" s="173">
        <f t="shared" si="11"/>
        <v>11164470.289999977</v>
      </c>
      <c r="G124" s="173">
        <f t="shared" si="12"/>
        <v>6868750.2999999532</v>
      </c>
      <c r="H124" s="173">
        <f t="shared" si="13"/>
        <v>4137304.3200000231</v>
      </c>
    </row>
    <row r="125" spans="1:8" hidden="1" outlineLevel="1" x14ac:dyDescent="0.25">
      <c r="A125" s="176">
        <v>38595</v>
      </c>
      <c r="B125" s="173">
        <f t="shared" si="8"/>
        <v>6661860.189999951</v>
      </c>
      <c r="C125" s="173">
        <f t="shared" si="9"/>
        <v>4012686.7500000242</v>
      </c>
      <c r="D125" s="173">
        <f t="shared" si="10"/>
        <v>153644.04999999961</v>
      </c>
      <c r="E125" s="173">
        <f t="shared" si="7"/>
        <v>10828190.989999974</v>
      </c>
      <c r="F125" s="173">
        <f t="shared" si="11"/>
        <v>11116430.389999976</v>
      </c>
      <c r="G125" s="173">
        <f t="shared" si="12"/>
        <v>6839194.5699999528</v>
      </c>
      <c r="H125" s="173">
        <f t="shared" si="13"/>
        <v>4119501.8100000229</v>
      </c>
    </row>
    <row r="126" spans="1:8" hidden="1" outlineLevel="1" x14ac:dyDescent="0.25">
      <c r="A126" s="176">
        <v>38625</v>
      </c>
      <c r="B126" s="173">
        <f t="shared" si="8"/>
        <v>6632304.4599999506</v>
      </c>
      <c r="C126" s="173">
        <f t="shared" si="9"/>
        <v>3994884.2400000244</v>
      </c>
      <c r="D126" s="173">
        <f t="shared" si="10"/>
        <v>152962.38999999961</v>
      </c>
      <c r="E126" s="173">
        <f t="shared" si="7"/>
        <v>10780151.089999974</v>
      </c>
      <c r="F126" s="173">
        <f t="shared" si="11"/>
        <v>11068390.489999978</v>
      </c>
      <c r="G126" s="173">
        <f t="shared" si="12"/>
        <v>6809638.8399999542</v>
      </c>
      <c r="H126" s="173">
        <f t="shared" si="13"/>
        <v>4101699.3000000231</v>
      </c>
    </row>
    <row r="127" spans="1:8" hidden="1" outlineLevel="1" x14ac:dyDescent="0.25">
      <c r="A127" s="176">
        <v>38656</v>
      </c>
      <c r="B127" s="173">
        <f t="shared" si="8"/>
        <v>6602748.7299999502</v>
      </c>
      <c r="C127" s="173">
        <f t="shared" si="9"/>
        <v>3977081.7300000247</v>
      </c>
      <c r="D127" s="173">
        <f t="shared" si="10"/>
        <v>152280.7299999996</v>
      </c>
      <c r="E127" s="173">
        <f t="shared" si="7"/>
        <v>10732111.189999975</v>
      </c>
      <c r="F127" s="173">
        <f t="shared" si="11"/>
        <v>11020350.589999976</v>
      </c>
      <c r="G127" s="173">
        <f t="shared" si="12"/>
        <v>6780083.1099999519</v>
      </c>
      <c r="H127" s="173">
        <f t="shared" si="13"/>
        <v>4083896.7900000233</v>
      </c>
    </row>
    <row r="128" spans="1:8" hidden="1" outlineLevel="1" x14ac:dyDescent="0.25">
      <c r="A128" s="176">
        <v>38686</v>
      </c>
      <c r="B128" s="173">
        <f t="shared" si="8"/>
        <v>6573192.9999999497</v>
      </c>
      <c r="C128" s="173">
        <f t="shared" si="9"/>
        <v>3959279.2200000249</v>
      </c>
      <c r="D128" s="173">
        <f t="shared" si="10"/>
        <v>151599.0699999996</v>
      </c>
      <c r="E128" s="173">
        <f t="shared" si="7"/>
        <v>10684071.289999975</v>
      </c>
      <c r="F128" s="173">
        <f t="shared" si="11"/>
        <v>10972310.689999975</v>
      </c>
      <c r="G128" s="173">
        <f t="shared" si="12"/>
        <v>6750527.3799999515</v>
      </c>
      <c r="H128" s="173">
        <f t="shared" si="13"/>
        <v>4066094.280000024</v>
      </c>
    </row>
    <row r="129" spans="1:8" hidden="1" outlineLevel="1" x14ac:dyDescent="0.25">
      <c r="A129" s="176">
        <v>38717</v>
      </c>
      <c r="B129" s="173">
        <f t="shared" si="8"/>
        <v>6543637.2699999493</v>
      </c>
      <c r="C129" s="173">
        <f t="shared" si="9"/>
        <v>3941476.7100000251</v>
      </c>
      <c r="D129" s="173">
        <f t="shared" si="10"/>
        <v>150917.4099999996</v>
      </c>
      <c r="E129" s="173">
        <f t="shared" si="7"/>
        <v>10636031.389999975</v>
      </c>
      <c r="F129" s="173">
        <f t="shared" si="11"/>
        <v>10924270.789999977</v>
      </c>
      <c r="G129" s="173">
        <f t="shared" si="12"/>
        <v>6720971.649999951</v>
      </c>
      <c r="H129" s="173">
        <f t="shared" si="13"/>
        <v>4048291.7700000242</v>
      </c>
    </row>
    <row r="130" spans="1:8" hidden="1" outlineLevel="1" x14ac:dyDescent="0.25">
      <c r="A130" s="176">
        <v>38748</v>
      </c>
      <c r="B130" s="173">
        <f t="shared" si="8"/>
        <v>6514081.5399999488</v>
      </c>
      <c r="C130" s="173">
        <f t="shared" si="9"/>
        <v>3923674.2000000253</v>
      </c>
      <c r="D130" s="173">
        <f t="shared" si="10"/>
        <v>150235.74999999959</v>
      </c>
      <c r="E130" s="173">
        <f t="shared" si="7"/>
        <v>10587991.489999974</v>
      </c>
      <c r="F130" s="173">
        <f t="shared" si="11"/>
        <v>10876230.889999975</v>
      </c>
      <c r="G130" s="173">
        <f t="shared" si="12"/>
        <v>6691415.9199999524</v>
      </c>
      <c r="H130" s="173">
        <f t="shared" si="13"/>
        <v>4030489.260000024</v>
      </c>
    </row>
    <row r="131" spans="1:8" hidden="1" outlineLevel="1" x14ac:dyDescent="0.25">
      <c r="A131" s="176">
        <v>38776</v>
      </c>
      <c r="B131" s="173">
        <f t="shared" si="8"/>
        <v>6484525.8099999484</v>
      </c>
      <c r="C131" s="173">
        <f t="shared" si="9"/>
        <v>3905871.6900000256</v>
      </c>
      <c r="D131" s="173">
        <f t="shared" si="10"/>
        <v>149554.08999999959</v>
      </c>
      <c r="E131" s="173">
        <f t="shared" si="7"/>
        <v>10539951.589999974</v>
      </c>
      <c r="F131" s="173">
        <f t="shared" si="11"/>
        <v>10828190.989999974</v>
      </c>
      <c r="G131" s="173">
        <f t="shared" si="12"/>
        <v>6661860.189999952</v>
      </c>
      <c r="H131" s="173">
        <f t="shared" si="13"/>
        <v>4012686.7500000237</v>
      </c>
    </row>
    <row r="132" spans="1:8" hidden="1" outlineLevel="1" x14ac:dyDescent="0.25">
      <c r="A132" s="176">
        <v>38807</v>
      </c>
      <c r="B132" s="173">
        <f t="shared" si="8"/>
        <v>6454970.0799999479</v>
      </c>
      <c r="C132" s="173">
        <f t="shared" si="9"/>
        <v>3888069.1800000258</v>
      </c>
      <c r="D132" s="173">
        <f t="shared" si="10"/>
        <v>148872.42999999959</v>
      </c>
      <c r="E132" s="173">
        <f t="shared" si="7"/>
        <v>10491911.689999973</v>
      </c>
      <c r="F132" s="173">
        <f t="shared" si="11"/>
        <v>10780151.089999976</v>
      </c>
      <c r="G132" s="173">
        <f t="shared" si="12"/>
        <v>6632304.4599999497</v>
      </c>
      <c r="H132" s="173">
        <f t="shared" si="13"/>
        <v>3994884.2400000249</v>
      </c>
    </row>
    <row r="133" spans="1:8" hidden="1" outlineLevel="1" x14ac:dyDescent="0.25">
      <c r="A133" s="176">
        <v>38837</v>
      </c>
      <c r="B133" s="173">
        <f t="shared" si="8"/>
        <v>6425414.3499999475</v>
      </c>
      <c r="C133" s="173">
        <f t="shared" si="9"/>
        <v>3870266.670000026</v>
      </c>
      <c r="D133" s="173">
        <f t="shared" si="10"/>
        <v>148190.76999999958</v>
      </c>
      <c r="E133" s="173">
        <f t="shared" si="7"/>
        <v>10443871.789999973</v>
      </c>
      <c r="F133" s="173">
        <f t="shared" si="11"/>
        <v>10732111.189999975</v>
      </c>
      <c r="G133" s="173">
        <f t="shared" si="12"/>
        <v>6602748.7299999492</v>
      </c>
      <c r="H133" s="173">
        <f t="shared" si="13"/>
        <v>3977081.7300000247</v>
      </c>
    </row>
    <row r="134" spans="1:8" hidden="1" outlineLevel="1" x14ac:dyDescent="0.25">
      <c r="A134" s="176">
        <v>38868</v>
      </c>
      <c r="B134" s="173">
        <f t="shared" si="8"/>
        <v>6395858.619999947</v>
      </c>
      <c r="C134" s="173">
        <f t="shared" si="9"/>
        <v>3852464.1600000262</v>
      </c>
      <c r="D134" s="173">
        <f t="shared" si="10"/>
        <v>147509.10999999958</v>
      </c>
      <c r="E134" s="173">
        <f t="shared" si="7"/>
        <v>10395831.889999973</v>
      </c>
      <c r="F134" s="173">
        <f t="shared" si="11"/>
        <v>10684071.289999975</v>
      </c>
      <c r="G134" s="173">
        <f t="shared" si="12"/>
        <v>6573192.9999999506</v>
      </c>
      <c r="H134" s="173">
        <f t="shared" si="13"/>
        <v>3959279.2200000249</v>
      </c>
    </row>
    <row r="135" spans="1:8" hidden="1" outlineLevel="1" x14ac:dyDescent="0.25">
      <c r="A135" s="176">
        <v>38898</v>
      </c>
      <c r="B135" s="173">
        <f t="shared" si="8"/>
        <v>6366302.8899999466</v>
      </c>
      <c r="C135" s="173">
        <f t="shared" si="9"/>
        <v>3834661.6500000264</v>
      </c>
      <c r="D135" s="173">
        <f t="shared" si="10"/>
        <v>146827.44999999958</v>
      </c>
      <c r="E135" s="173">
        <f t="shared" si="7"/>
        <v>10347791.989999972</v>
      </c>
      <c r="F135" s="173">
        <f t="shared" si="11"/>
        <v>10636031.389999975</v>
      </c>
      <c r="G135" s="173">
        <f t="shared" si="12"/>
        <v>6543637.2699999502</v>
      </c>
      <c r="H135" s="173">
        <f t="shared" si="13"/>
        <v>3941476.7100000251</v>
      </c>
    </row>
    <row r="136" spans="1:8" hidden="1" outlineLevel="1" x14ac:dyDescent="0.25">
      <c r="A136" s="176">
        <v>38929</v>
      </c>
      <c r="B136" s="173">
        <f t="shared" si="8"/>
        <v>6336747.1599999461</v>
      </c>
      <c r="C136" s="173">
        <f t="shared" si="9"/>
        <v>3816859.1400000267</v>
      </c>
      <c r="D136" s="173">
        <f t="shared" si="10"/>
        <v>146145.78999999957</v>
      </c>
      <c r="E136" s="173">
        <f t="shared" si="7"/>
        <v>10299752.089999972</v>
      </c>
      <c r="F136" s="173">
        <f t="shared" si="11"/>
        <v>10587991.489999974</v>
      </c>
      <c r="G136" s="173">
        <f t="shared" si="12"/>
        <v>6514081.5399999479</v>
      </c>
      <c r="H136" s="173">
        <f t="shared" si="13"/>
        <v>3923674.2000000258</v>
      </c>
    </row>
    <row r="137" spans="1:8" hidden="1" outlineLevel="1" x14ac:dyDescent="0.25">
      <c r="A137" s="176">
        <v>38960</v>
      </c>
      <c r="B137" s="173">
        <f t="shared" si="8"/>
        <v>6307191.4299999457</v>
      </c>
      <c r="C137" s="173">
        <f t="shared" si="9"/>
        <v>3799056.6300000269</v>
      </c>
      <c r="D137" s="173">
        <f t="shared" si="10"/>
        <v>145464.12999999957</v>
      </c>
      <c r="E137" s="173">
        <f t="shared" si="7"/>
        <v>10251712.189999972</v>
      </c>
      <c r="F137" s="173">
        <f t="shared" si="11"/>
        <v>10539951.589999974</v>
      </c>
      <c r="G137" s="173">
        <f t="shared" si="12"/>
        <v>6484525.8099999474</v>
      </c>
      <c r="H137" s="173">
        <f t="shared" si="13"/>
        <v>3905871.690000026</v>
      </c>
    </row>
    <row r="138" spans="1:8" hidden="1" outlineLevel="1" x14ac:dyDescent="0.25">
      <c r="A138" s="176">
        <v>38990</v>
      </c>
      <c r="B138" s="173">
        <f t="shared" si="8"/>
        <v>6277635.6999999452</v>
      </c>
      <c r="C138" s="173">
        <f t="shared" si="9"/>
        <v>3781254.1200000271</v>
      </c>
      <c r="D138" s="173">
        <f t="shared" si="10"/>
        <v>144782.46999999956</v>
      </c>
      <c r="E138" s="173">
        <f t="shared" si="7"/>
        <v>10203672.289999971</v>
      </c>
      <c r="F138" s="173">
        <f t="shared" si="11"/>
        <v>10491911.689999973</v>
      </c>
      <c r="G138" s="173">
        <f t="shared" si="12"/>
        <v>6454970.0799999489</v>
      </c>
      <c r="H138" s="173">
        <f t="shared" si="13"/>
        <v>3888069.1800000258</v>
      </c>
    </row>
    <row r="139" spans="1:8" hidden="1" outlineLevel="1" x14ac:dyDescent="0.25">
      <c r="A139" s="176">
        <v>39021</v>
      </c>
      <c r="B139" s="173">
        <f t="shared" si="8"/>
        <v>6248079.9699999448</v>
      </c>
      <c r="C139" s="173">
        <f t="shared" si="9"/>
        <v>3763451.6100000273</v>
      </c>
      <c r="D139" s="173">
        <f t="shared" si="10"/>
        <v>144100.80999999956</v>
      </c>
      <c r="E139" s="173">
        <f t="shared" si="7"/>
        <v>10155632.389999971</v>
      </c>
      <c r="F139" s="173">
        <f t="shared" si="11"/>
        <v>10443871.789999975</v>
      </c>
      <c r="G139" s="173">
        <f t="shared" si="12"/>
        <v>6425414.3499999484</v>
      </c>
      <c r="H139" s="173">
        <f t="shared" si="13"/>
        <v>3870266.6700000255</v>
      </c>
    </row>
    <row r="140" spans="1:8" hidden="1" outlineLevel="1" x14ac:dyDescent="0.25">
      <c r="A140" s="176">
        <v>39051</v>
      </c>
      <c r="B140" s="173">
        <f t="shared" si="8"/>
        <v>6218524.2399999443</v>
      </c>
      <c r="C140" s="173">
        <f t="shared" si="9"/>
        <v>3745649.1000000276</v>
      </c>
      <c r="D140" s="173">
        <f t="shared" si="10"/>
        <v>143419.14999999956</v>
      </c>
      <c r="E140" s="173">
        <f t="shared" si="7"/>
        <v>10107592.489999972</v>
      </c>
      <c r="F140" s="173">
        <f t="shared" si="11"/>
        <v>10395831.889999973</v>
      </c>
      <c r="G140" s="173">
        <f t="shared" si="12"/>
        <v>6395858.6199999461</v>
      </c>
      <c r="H140" s="173">
        <f t="shared" si="13"/>
        <v>3852464.1600000267</v>
      </c>
    </row>
    <row r="141" spans="1:8" hidden="1" outlineLevel="1" x14ac:dyDescent="0.25">
      <c r="A141" s="176">
        <v>39082</v>
      </c>
      <c r="B141" s="173">
        <f t="shared" si="8"/>
        <v>6188968.5099999439</v>
      </c>
      <c r="C141" s="173">
        <f t="shared" si="9"/>
        <v>3727846.5900000278</v>
      </c>
      <c r="D141" s="173">
        <f t="shared" si="10"/>
        <v>142737.48999999955</v>
      </c>
      <c r="E141" s="173">
        <f t="shared" si="7"/>
        <v>10059552.589999972</v>
      </c>
      <c r="F141" s="173">
        <f t="shared" si="11"/>
        <v>10347791.989999972</v>
      </c>
      <c r="G141" s="173">
        <f t="shared" si="12"/>
        <v>6366302.8899999456</v>
      </c>
      <c r="H141" s="173">
        <f t="shared" si="13"/>
        <v>3834661.6500000264</v>
      </c>
    </row>
    <row r="142" spans="1:8" hidden="1" outlineLevel="1" x14ac:dyDescent="0.25">
      <c r="A142" s="176">
        <v>39113</v>
      </c>
      <c r="B142" s="173">
        <f t="shared" si="8"/>
        <v>6159412.7799999435</v>
      </c>
      <c r="C142" s="173">
        <f t="shared" si="9"/>
        <v>3710044.080000028</v>
      </c>
      <c r="D142" s="173">
        <f t="shared" si="10"/>
        <v>142055.82999999955</v>
      </c>
      <c r="E142" s="173">
        <f t="shared" si="7"/>
        <v>10011512.689999972</v>
      </c>
      <c r="F142" s="173">
        <f t="shared" si="11"/>
        <v>10299752.089999974</v>
      </c>
      <c r="G142" s="173">
        <f t="shared" si="12"/>
        <v>6336747.1599999471</v>
      </c>
      <c r="H142" s="173">
        <f t="shared" si="13"/>
        <v>3816859.1400000267</v>
      </c>
    </row>
    <row r="143" spans="1:8" hidden="1" outlineLevel="1" x14ac:dyDescent="0.25">
      <c r="A143" s="176">
        <v>39141</v>
      </c>
      <c r="B143" s="173">
        <f t="shared" si="8"/>
        <v>6129857.049999943</v>
      </c>
      <c r="C143" s="173">
        <f t="shared" si="9"/>
        <v>3692241.5700000282</v>
      </c>
      <c r="D143" s="173">
        <f t="shared" si="10"/>
        <v>141374.16999999955</v>
      </c>
      <c r="E143" s="173">
        <f t="shared" ref="E143:E206" si="14">SUM(B143:D143)</f>
        <v>9963472.7899999712</v>
      </c>
      <c r="F143" s="173">
        <f t="shared" si="11"/>
        <v>10251712.189999973</v>
      </c>
      <c r="G143" s="173">
        <f t="shared" si="12"/>
        <v>6307191.4299999466</v>
      </c>
      <c r="H143" s="173">
        <f t="shared" si="13"/>
        <v>3799056.6300000269</v>
      </c>
    </row>
    <row r="144" spans="1:8" hidden="1" outlineLevel="1" x14ac:dyDescent="0.25">
      <c r="A144" s="176">
        <v>39172</v>
      </c>
      <c r="B144" s="173">
        <f t="shared" ref="B144:B207" si="15">B143-$B$13</f>
        <v>6100301.3199999426</v>
      </c>
      <c r="C144" s="173">
        <f t="shared" ref="C144:C207" si="16">C143-$C$13</f>
        <v>3674439.0600000285</v>
      </c>
      <c r="D144" s="173">
        <f t="shared" ref="D144:D207" si="17">D143-$D$13</f>
        <v>140692.50999999954</v>
      </c>
      <c r="E144" s="173">
        <f t="shared" si="14"/>
        <v>9915432.8899999708</v>
      </c>
      <c r="F144" s="173">
        <f t="shared" si="11"/>
        <v>10203672.289999975</v>
      </c>
      <c r="G144" s="173">
        <f t="shared" si="12"/>
        <v>6277635.6999999443</v>
      </c>
      <c r="H144" s="173">
        <f t="shared" si="13"/>
        <v>3781254.1200000276</v>
      </c>
    </row>
    <row r="145" spans="1:8" hidden="1" outlineLevel="1" x14ac:dyDescent="0.25">
      <c r="A145" s="176">
        <v>39202</v>
      </c>
      <c r="B145" s="173">
        <f t="shared" si="15"/>
        <v>6070745.5899999421</v>
      </c>
      <c r="C145" s="173">
        <f t="shared" si="16"/>
        <v>3656636.5500000287</v>
      </c>
      <c r="D145" s="173">
        <f t="shared" si="17"/>
        <v>140010.84999999954</v>
      </c>
      <c r="E145" s="173">
        <f t="shared" si="14"/>
        <v>9867392.9899999704</v>
      </c>
      <c r="F145" s="173">
        <f t="shared" si="11"/>
        <v>10155632.389999973</v>
      </c>
      <c r="G145" s="173">
        <f t="shared" si="12"/>
        <v>6248079.9699999439</v>
      </c>
      <c r="H145" s="173">
        <f t="shared" si="13"/>
        <v>3763451.6100000278</v>
      </c>
    </row>
    <row r="146" spans="1:8" hidden="1" outlineLevel="1" x14ac:dyDescent="0.25">
      <c r="A146" s="176">
        <v>39233</v>
      </c>
      <c r="B146" s="173">
        <f t="shared" si="15"/>
        <v>6041189.8599999417</v>
      </c>
      <c r="C146" s="173">
        <f t="shared" si="16"/>
        <v>3638834.0400000289</v>
      </c>
      <c r="D146" s="173">
        <f t="shared" si="17"/>
        <v>139329.18999999954</v>
      </c>
      <c r="E146" s="173">
        <f t="shared" si="14"/>
        <v>9819353.08999997</v>
      </c>
      <c r="F146" s="173">
        <f t="shared" si="11"/>
        <v>10107592.489999972</v>
      </c>
      <c r="G146" s="173">
        <f t="shared" si="12"/>
        <v>6218524.2399999453</v>
      </c>
      <c r="H146" s="173">
        <f t="shared" si="13"/>
        <v>3745649.1000000276</v>
      </c>
    </row>
    <row r="147" spans="1:8" hidden="1" outlineLevel="1" x14ac:dyDescent="0.25">
      <c r="A147" s="176">
        <v>39263</v>
      </c>
      <c r="B147" s="173">
        <f t="shared" si="15"/>
        <v>6011634.1299999412</v>
      </c>
      <c r="C147" s="173">
        <f t="shared" si="16"/>
        <v>3621031.5300000291</v>
      </c>
      <c r="D147" s="173">
        <f t="shared" si="17"/>
        <v>138647.52999999953</v>
      </c>
      <c r="E147" s="173">
        <f t="shared" si="14"/>
        <v>9771313.1899999697</v>
      </c>
      <c r="F147" s="173">
        <f t="shared" si="11"/>
        <v>10059552.589999972</v>
      </c>
      <c r="G147" s="173">
        <f t="shared" si="12"/>
        <v>6188968.5099999448</v>
      </c>
      <c r="H147" s="173">
        <f t="shared" si="13"/>
        <v>3727846.5900000273</v>
      </c>
    </row>
    <row r="148" spans="1:8" hidden="1" outlineLevel="1" x14ac:dyDescent="0.25">
      <c r="A148" s="176">
        <v>39294</v>
      </c>
      <c r="B148" s="173">
        <f t="shared" si="15"/>
        <v>5982078.3999999408</v>
      </c>
      <c r="C148" s="173">
        <f t="shared" si="16"/>
        <v>3603229.0200000294</v>
      </c>
      <c r="D148" s="173">
        <f t="shared" si="17"/>
        <v>137965.86999999953</v>
      </c>
      <c r="E148" s="173">
        <f t="shared" si="14"/>
        <v>9723273.2899999693</v>
      </c>
      <c r="F148" s="173">
        <f t="shared" si="11"/>
        <v>10011512.689999972</v>
      </c>
      <c r="G148" s="173">
        <f t="shared" si="12"/>
        <v>6159412.7799999425</v>
      </c>
      <c r="H148" s="173">
        <f t="shared" si="13"/>
        <v>3710044.0800000285</v>
      </c>
    </row>
    <row r="149" spans="1:8" hidden="1" outlineLevel="1" x14ac:dyDescent="0.25">
      <c r="A149" s="176">
        <v>39325</v>
      </c>
      <c r="B149" s="173">
        <f t="shared" si="15"/>
        <v>5952522.6699999403</v>
      </c>
      <c r="C149" s="173">
        <f t="shared" si="16"/>
        <v>3585426.5100000296</v>
      </c>
      <c r="D149" s="173">
        <f t="shared" si="17"/>
        <v>137284.20999999953</v>
      </c>
      <c r="E149" s="173">
        <f t="shared" si="14"/>
        <v>9675233.3899999689</v>
      </c>
      <c r="F149" s="173">
        <f t="shared" si="11"/>
        <v>9963472.7899999693</v>
      </c>
      <c r="G149" s="173">
        <f t="shared" si="12"/>
        <v>6129857.0499999421</v>
      </c>
      <c r="H149" s="173">
        <f t="shared" si="13"/>
        <v>3692241.5700000282</v>
      </c>
    </row>
    <row r="150" spans="1:8" hidden="1" outlineLevel="1" x14ac:dyDescent="0.25">
      <c r="A150" s="176">
        <v>39355</v>
      </c>
      <c r="B150" s="173">
        <f t="shared" si="15"/>
        <v>5922966.9399999399</v>
      </c>
      <c r="C150" s="173">
        <f t="shared" si="16"/>
        <v>3567624.0000000298</v>
      </c>
      <c r="D150" s="173">
        <f t="shared" si="17"/>
        <v>136602.54999999952</v>
      </c>
      <c r="E150" s="173">
        <f t="shared" si="14"/>
        <v>9627193.4899999686</v>
      </c>
      <c r="F150" s="173">
        <f t="shared" si="11"/>
        <v>9915432.8899999708</v>
      </c>
      <c r="G150" s="173">
        <f t="shared" si="12"/>
        <v>6100301.3199999435</v>
      </c>
      <c r="H150" s="173">
        <f t="shared" si="13"/>
        <v>3674439.0600000285</v>
      </c>
    </row>
    <row r="151" spans="1:8" hidden="1" outlineLevel="1" x14ac:dyDescent="0.25">
      <c r="A151" s="176">
        <v>39386</v>
      </c>
      <c r="B151" s="173">
        <f t="shared" si="15"/>
        <v>5893411.2099999394</v>
      </c>
      <c r="C151" s="173">
        <f t="shared" si="16"/>
        <v>3549821.49000003</v>
      </c>
      <c r="D151" s="173">
        <f t="shared" si="17"/>
        <v>135920.88999999952</v>
      </c>
      <c r="E151" s="173">
        <f t="shared" si="14"/>
        <v>9579153.5899999682</v>
      </c>
      <c r="F151" s="173">
        <f t="shared" si="11"/>
        <v>9867392.9899999704</v>
      </c>
      <c r="G151" s="173">
        <f t="shared" si="12"/>
        <v>6070745.5899999412</v>
      </c>
      <c r="H151" s="173">
        <f t="shared" si="13"/>
        <v>3656636.5500000287</v>
      </c>
    </row>
    <row r="152" spans="1:8" hidden="1" outlineLevel="1" x14ac:dyDescent="0.25">
      <c r="A152" s="176">
        <v>39416</v>
      </c>
      <c r="B152" s="173">
        <f t="shared" si="15"/>
        <v>5863855.479999939</v>
      </c>
      <c r="C152" s="173">
        <f t="shared" si="16"/>
        <v>3532018.9800000302</v>
      </c>
      <c r="D152" s="173">
        <f t="shared" si="17"/>
        <v>135239.22999999952</v>
      </c>
      <c r="E152" s="173">
        <f t="shared" si="14"/>
        <v>9531113.6899999678</v>
      </c>
      <c r="F152" s="173">
        <f t="shared" si="11"/>
        <v>9819353.0899999719</v>
      </c>
      <c r="G152" s="173">
        <f t="shared" si="12"/>
        <v>6041189.8599999426</v>
      </c>
      <c r="H152" s="173">
        <f t="shared" si="13"/>
        <v>3638834.0400000294</v>
      </c>
    </row>
    <row r="153" spans="1:8" hidden="1" outlineLevel="1" x14ac:dyDescent="0.25">
      <c r="A153" s="176">
        <v>39447</v>
      </c>
      <c r="B153" s="173">
        <f t="shared" si="15"/>
        <v>5834299.7499999385</v>
      </c>
      <c r="C153" s="173">
        <f t="shared" si="16"/>
        <v>3514216.4700000305</v>
      </c>
      <c r="D153" s="173">
        <f t="shared" si="17"/>
        <v>134557.56999999951</v>
      </c>
      <c r="E153" s="173">
        <f t="shared" si="14"/>
        <v>9483073.7899999693</v>
      </c>
      <c r="F153" s="173">
        <f t="shared" si="11"/>
        <v>9771313.1899999697</v>
      </c>
      <c r="G153" s="100">
        <f t="shared" si="12"/>
        <v>6011634.1299999403</v>
      </c>
      <c r="H153" s="173">
        <f t="shared" si="13"/>
        <v>3621031.5300000296</v>
      </c>
    </row>
    <row r="154" spans="1:8" hidden="1" outlineLevel="1" x14ac:dyDescent="0.25">
      <c r="A154" s="176">
        <v>39478</v>
      </c>
      <c r="B154" s="173">
        <f t="shared" si="15"/>
        <v>5804744.0199999381</v>
      </c>
      <c r="C154" s="173">
        <f t="shared" si="16"/>
        <v>3496413.9600000307</v>
      </c>
      <c r="D154" s="173">
        <f t="shared" si="17"/>
        <v>133875.90999999951</v>
      </c>
      <c r="E154" s="173">
        <f t="shared" si="14"/>
        <v>9435033.8899999689</v>
      </c>
      <c r="F154" s="173">
        <f t="shared" si="11"/>
        <v>9723273.2899999693</v>
      </c>
      <c r="G154" s="100">
        <f t="shared" si="12"/>
        <v>5982078.3999999417</v>
      </c>
      <c r="H154" s="173">
        <f t="shared" si="13"/>
        <v>3603229.0200000294</v>
      </c>
    </row>
    <row r="155" spans="1:8" hidden="1" outlineLevel="1" x14ac:dyDescent="0.25">
      <c r="A155" s="176">
        <v>39507</v>
      </c>
      <c r="B155" s="173">
        <f t="shared" si="15"/>
        <v>5775188.2899999376</v>
      </c>
      <c r="C155" s="173">
        <f t="shared" si="16"/>
        <v>3478611.4500000309</v>
      </c>
      <c r="D155" s="173">
        <f t="shared" si="17"/>
        <v>133194.24999999951</v>
      </c>
      <c r="E155" s="173">
        <f t="shared" si="14"/>
        <v>9386993.9899999686</v>
      </c>
      <c r="F155" s="173">
        <f t="shared" ref="F155:F218" si="18">(E143+E155+SUM(E144:E154)*2)/24</f>
        <v>9675233.3899999708</v>
      </c>
      <c r="G155" s="100">
        <f t="shared" ref="G155:G218" si="19">(B143+B155+SUM(B144:B154)*2)/24</f>
        <v>5952522.6699999394</v>
      </c>
      <c r="H155" s="173">
        <f t="shared" ref="H155:H218" si="20">(C143+C155+SUM(C144:C154)*2)/24</f>
        <v>3585426.5100000296</v>
      </c>
    </row>
    <row r="156" spans="1:8" hidden="1" outlineLevel="1" x14ac:dyDescent="0.25">
      <c r="A156" s="176">
        <v>39538</v>
      </c>
      <c r="B156" s="173">
        <f t="shared" si="15"/>
        <v>5745632.5599999372</v>
      </c>
      <c r="C156" s="173">
        <f t="shared" si="16"/>
        <v>3460808.9400000311</v>
      </c>
      <c r="D156" s="173">
        <f t="shared" si="17"/>
        <v>132512.5899999995</v>
      </c>
      <c r="E156" s="173">
        <f t="shared" si="14"/>
        <v>9338954.0899999682</v>
      </c>
      <c r="F156" s="173">
        <f t="shared" si="18"/>
        <v>9627193.4899999686</v>
      </c>
      <c r="G156" s="100">
        <f t="shared" si="19"/>
        <v>5922966.9399999408</v>
      </c>
      <c r="H156" s="173">
        <f t="shared" si="20"/>
        <v>3567624.0000000303</v>
      </c>
    </row>
    <row r="157" spans="1:8" hidden="1" outlineLevel="1" x14ac:dyDescent="0.25">
      <c r="A157" s="176">
        <v>39568</v>
      </c>
      <c r="B157" s="173">
        <f t="shared" si="15"/>
        <v>5716076.8299999367</v>
      </c>
      <c r="C157" s="173">
        <f t="shared" si="16"/>
        <v>3443006.4300000314</v>
      </c>
      <c r="D157" s="173">
        <f t="shared" si="17"/>
        <v>131830.9299999995</v>
      </c>
      <c r="E157" s="173">
        <f t="shared" si="14"/>
        <v>9290914.1899999678</v>
      </c>
      <c r="F157" s="173">
        <f t="shared" si="18"/>
        <v>9579153.5899999682</v>
      </c>
      <c r="G157" s="100">
        <f t="shared" si="19"/>
        <v>5893411.2099999385</v>
      </c>
      <c r="H157" s="173">
        <f t="shared" si="20"/>
        <v>3549821.49000003</v>
      </c>
    </row>
    <row r="158" spans="1:8" hidden="1" outlineLevel="1" x14ac:dyDescent="0.25">
      <c r="A158" s="176">
        <v>39599</v>
      </c>
      <c r="B158" s="173">
        <f t="shared" si="15"/>
        <v>5686521.0999999363</v>
      </c>
      <c r="C158" s="173">
        <f t="shared" si="16"/>
        <v>3425203.9200000316</v>
      </c>
      <c r="D158" s="173">
        <f t="shared" si="17"/>
        <v>131149.26999999949</v>
      </c>
      <c r="E158" s="173">
        <f t="shared" si="14"/>
        <v>9242874.2899999674</v>
      </c>
      <c r="F158" s="173">
        <f t="shared" si="18"/>
        <v>9531113.6899999697</v>
      </c>
      <c r="G158" s="100">
        <f t="shared" si="19"/>
        <v>5863855.4799999399</v>
      </c>
      <c r="H158" s="173">
        <f t="shared" si="20"/>
        <v>3532018.9800000302</v>
      </c>
    </row>
    <row r="159" spans="1:8" hidden="1" outlineLevel="1" x14ac:dyDescent="0.25">
      <c r="A159" s="176">
        <v>39629</v>
      </c>
      <c r="B159" s="173">
        <f t="shared" si="15"/>
        <v>5656965.3699999359</v>
      </c>
      <c r="C159" s="173">
        <f t="shared" si="16"/>
        <v>3407401.4100000318</v>
      </c>
      <c r="D159" s="173">
        <f t="shared" si="17"/>
        <v>130467.60999999949</v>
      </c>
      <c r="E159" s="173">
        <f t="shared" si="14"/>
        <v>9194834.3899999671</v>
      </c>
      <c r="F159" s="173">
        <f t="shared" si="18"/>
        <v>9483073.7899999693</v>
      </c>
      <c r="G159" s="100">
        <f t="shared" si="19"/>
        <v>5834299.7499999376</v>
      </c>
      <c r="H159" s="173">
        <f t="shared" si="20"/>
        <v>3514216.4700000305</v>
      </c>
    </row>
    <row r="160" spans="1:8" hidden="1" outlineLevel="1" x14ac:dyDescent="0.25">
      <c r="A160" s="176">
        <v>39660</v>
      </c>
      <c r="B160" s="173">
        <f t="shared" si="15"/>
        <v>5627409.6399999354</v>
      </c>
      <c r="C160" s="173">
        <f t="shared" si="16"/>
        <v>3389598.900000032</v>
      </c>
      <c r="D160" s="173">
        <f t="shared" si="17"/>
        <v>129785.94999999949</v>
      </c>
      <c r="E160" s="173">
        <f t="shared" si="14"/>
        <v>9146794.4899999667</v>
      </c>
      <c r="F160" s="173">
        <f t="shared" si="18"/>
        <v>9435033.8899999689</v>
      </c>
      <c r="G160" s="100">
        <f t="shared" si="19"/>
        <v>5804744.019999939</v>
      </c>
      <c r="H160" s="173">
        <f t="shared" si="20"/>
        <v>3496413.9600000312</v>
      </c>
    </row>
    <row r="161" spans="1:8" hidden="1" outlineLevel="1" x14ac:dyDescent="0.25">
      <c r="A161" s="176">
        <v>39691</v>
      </c>
      <c r="B161" s="173">
        <f t="shared" si="15"/>
        <v>5597853.909999935</v>
      </c>
      <c r="C161" s="173">
        <f t="shared" si="16"/>
        <v>3371796.3900000323</v>
      </c>
      <c r="D161" s="173">
        <f t="shared" si="17"/>
        <v>129104.28999999948</v>
      </c>
      <c r="E161" s="173">
        <f t="shared" si="14"/>
        <v>9098754.5899999663</v>
      </c>
      <c r="F161" s="173">
        <f t="shared" si="18"/>
        <v>9386993.9899999686</v>
      </c>
      <c r="G161" s="100">
        <f t="shared" si="19"/>
        <v>5775188.2899999367</v>
      </c>
      <c r="H161" s="173">
        <f t="shared" si="20"/>
        <v>3478611.4500000314</v>
      </c>
    </row>
    <row r="162" spans="1:8" hidden="1" outlineLevel="1" x14ac:dyDescent="0.25">
      <c r="A162" s="176">
        <v>39721</v>
      </c>
      <c r="B162" s="173">
        <f t="shared" si="15"/>
        <v>5568298.1799999345</v>
      </c>
      <c r="C162" s="173">
        <f t="shared" si="16"/>
        <v>3353993.8800000325</v>
      </c>
      <c r="D162" s="173">
        <f t="shared" si="17"/>
        <v>128422.62999999948</v>
      </c>
      <c r="E162" s="173">
        <f t="shared" si="14"/>
        <v>9050714.689999966</v>
      </c>
      <c r="F162" s="173">
        <f t="shared" si="18"/>
        <v>9338954.0899999682</v>
      </c>
      <c r="G162" s="100">
        <f t="shared" si="19"/>
        <v>5745632.5599999381</v>
      </c>
      <c r="H162" s="173">
        <f t="shared" si="20"/>
        <v>3460808.9400000311</v>
      </c>
    </row>
    <row r="163" spans="1:8" hidden="1" outlineLevel="1" x14ac:dyDescent="0.25">
      <c r="A163" s="176">
        <v>39752</v>
      </c>
      <c r="B163" s="173">
        <f t="shared" si="15"/>
        <v>5538742.4499999341</v>
      </c>
      <c r="C163" s="173">
        <f t="shared" si="16"/>
        <v>3336191.3700000327</v>
      </c>
      <c r="D163" s="173">
        <f t="shared" si="17"/>
        <v>127740.96999999948</v>
      </c>
      <c r="E163" s="173">
        <f t="shared" si="14"/>
        <v>9002674.7899999656</v>
      </c>
      <c r="F163" s="173">
        <f t="shared" si="18"/>
        <v>9290914.1899999678</v>
      </c>
      <c r="G163" s="100">
        <f t="shared" si="19"/>
        <v>5716076.8299999358</v>
      </c>
      <c r="H163" s="173">
        <f t="shared" si="20"/>
        <v>3443006.4300000314</v>
      </c>
    </row>
    <row r="164" spans="1:8" hidden="1" outlineLevel="1" x14ac:dyDescent="0.25">
      <c r="A164" s="176">
        <v>39782</v>
      </c>
      <c r="B164" s="173">
        <f t="shared" si="15"/>
        <v>5509186.7199999336</v>
      </c>
      <c r="C164" s="173">
        <f t="shared" si="16"/>
        <v>3318388.8600000329</v>
      </c>
      <c r="D164" s="173">
        <f t="shared" si="17"/>
        <v>127059.30999999947</v>
      </c>
      <c r="E164" s="173">
        <f t="shared" si="14"/>
        <v>8954634.8899999652</v>
      </c>
      <c r="F164" s="173">
        <f t="shared" si="18"/>
        <v>9242874.2899999674</v>
      </c>
      <c r="G164" s="100">
        <f t="shared" si="19"/>
        <v>5686521.0999999372</v>
      </c>
      <c r="H164" s="173">
        <f t="shared" si="20"/>
        <v>3425203.9200000321</v>
      </c>
    </row>
    <row r="165" spans="1:8" hidden="1" outlineLevel="1" x14ac:dyDescent="0.25">
      <c r="A165" s="176">
        <v>39813</v>
      </c>
      <c r="B165" s="173">
        <f t="shared" si="15"/>
        <v>5479630.9899999332</v>
      </c>
      <c r="C165" s="173">
        <f t="shared" si="16"/>
        <v>3300586.3500000332</v>
      </c>
      <c r="D165" s="173">
        <f t="shared" si="17"/>
        <v>126377.64999999947</v>
      </c>
      <c r="E165" s="173">
        <f t="shared" si="14"/>
        <v>8906594.9899999667</v>
      </c>
      <c r="F165" s="173">
        <f t="shared" si="18"/>
        <v>9194834.3899999689</v>
      </c>
      <c r="G165" s="100">
        <f t="shared" si="19"/>
        <v>5656965.3699999349</v>
      </c>
      <c r="H165" s="173">
        <f t="shared" si="20"/>
        <v>3407401.4100000318</v>
      </c>
    </row>
    <row r="166" spans="1:8" hidden="1" outlineLevel="1" x14ac:dyDescent="0.25">
      <c r="A166" s="176">
        <v>39844</v>
      </c>
      <c r="B166" s="173">
        <f t="shared" si="15"/>
        <v>5450075.2599999327</v>
      </c>
      <c r="C166" s="173">
        <f t="shared" si="16"/>
        <v>3282783.8400000334</v>
      </c>
      <c r="D166" s="173">
        <f t="shared" si="17"/>
        <v>125695.98999999947</v>
      </c>
      <c r="E166" s="173">
        <f t="shared" si="14"/>
        <v>8858555.0899999663</v>
      </c>
      <c r="F166" s="173">
        <f t="shared" si="18"/>
        <v>9146794.4899999667</v>
      </c>
      <c r="G166" s="100">
        <f t="shared" si="19"/>
        <v>5627409.6399999363</v>
      </c>
      <c r="H166" s="173">
        <f t="shared" si="20"/>
        <v>3389598.900000032</v>
      </c>
    </row>
    <row r="167" spans="1:8" hidden="1" outlineLevel="1" x14ac:dyDescent="0.25">
      <c r="A167" s="176">
        <v>39872</v>
      </c>
      <c r="B167" s="173">
        <f t="shared" si="15"/>
        <v>5420519.5299999323</v>
      </c>
      <c r="C167" s="173">
        <f t="shared" si="16"/>
        <v>3264981.3300000336</v>
      </c>
      <c r="D167" s="173">
        <f t="shared" si="17"/>
        <v>125014.32999999946</v>
      </c>
      <c r="E167" s="173">
        <f t="shared" si="14"/>
        <v>8810515.189999966</v>
      </c>
      <c r="F167" s="173">
        <f t="shared" si="18"/>
        <v>9098754.5899999682</v>
      </c>
      <c r="G167" s="100">
        <f t="shared" si="19"/>
        <v>5597853.909999934</v>
      </c>
      <c r="H167" s="173">
        <f t="shared" si="20"/>
        <v>3371796.3900000323</v>
      </c>
    </row>
    <row r="168" spans="1:8" hidden="1" outlineLevel="1" x14ac:dyDescent="0.25">
      <c r="A168" s="176">
        <v>39903</v>
      </c>
      <c r="B168" s="173">
        <f t="shared" si="15"/>
        <v>5390963.7999999318</v>
      </c>
      <c r="C168" s="173">
        <f t="shared" si="16"/>
        <v>3247178.8200000338</v>
      </c>
      <c r="D168" s="173">
        <f t="shared" si="17"/>
        <v>124332.66999999946</v>
      </c>
      <c r="E168" s="173">
        <f t="shared" si="14"/>
        <v>8762475.2899999656</v>
      </c>
      <c r="F168" s="173">
        <f t="shared" si="18"/>
        <v>9050714.6899999678</v>
      </c>
      <c r="G168" s="100">
        <f t="shared" si="19"/>
        <v>5568298.1799999345</v>
      </c>
      <c r="H168" s="173">
        <f t="shared" si="20"/>
        <v>3353993.880000033</v>
      </c>
    </row>
    <row r="169" spans="1:8" hidden="1" outlineLevel="1" x14ac:dyDescent="0.25">
      <c r="A169" s="176">
        <v>39933</v>
      </c>
      <c r="B169" s="173">
        <f t="shared" si="15"/>
        <v>5361408.0699999314</v>
      </c>
      <c r="C169" s="173">
        <f t="shared" si="16"/>
        <v>3229376.310000034</v>
      </c>
      <c r="D169" s="173">
        <f t="shared" si="17"/>
        <v>123651.00999999946</v>
      </c>
      <c r="E169" s="173">
        <f t="shared" si="14"/>
        <v>8714435.3899999652</v>
      </c>
      <c r="F169" s="173">
        <f t="shared" si="18"/>
        <v>9002674.7899999674</v>
      </c>
      <c r="G169" s="100">
        <f t="shared" si="19"/>
        <v>5538742.4499999341</v>
      </c>
      <c r="H169" s="173">
        <f t="shared" si="20"/>
        <v>3336191.3700000332</v>
      </c>
    </row>
    <row r="170" spans="1:8" hidden="1" outlineLevel="1" x14ac:dyDescent="0.25">
      <c r="A170" s="176">
        <v>39964</v>
      </c>
      <c r="B170" s="173">
        <f t="shared" si="15"/>
        <v>5331852.3399999309</v>
      </c>
      <c r="C170" s="173">
        <f t="shared" si="16"/>
        <v>3211573.8000000343</v>
      </c>
      <c r="D170" s="173">
        <f t="shared" si="17"/>
        <v>122969.34999999945</v>
      </c>
      <c r="E170" s="173">
        <f t="shared" si="14"/>
        <v>8666395.4899999648</v>
      </c>
      <c r="F170" s="173">
        <f t="shared" si="18"/>
        <v>8954634.8899999671</v>
      </c>
      <c r="G170" s="100">
        <f t="shared" si="19"/>
        <v>5509186.7199999336</v>
      </c>
      <c r="H170" s="173">
        <f t="shared" si="20"/>
        <v>3318388.8600000329</v>
      </c>
    </row>
    <row r="171" spans="1:8" hidden="1" outlineLevel="1" x14ac:dyDescent="0.25">
      <c r="A171" s="176">
        <v>39994</v>
      </c>
      <c r="B171" s="173">
        <f t="shared" si="15"/>
        <v>5302296.6099999305</v>
      </c>
      <c r="C171" s="173">
        <f t="shared" si="16"/>
        <v>3193771.2900000345</v>
      </c>
      <c r="D171" s="173">
        <f t="shared" si="17"/>
        <v>122287.68999999945</v>
      </c>
      <c r="E171" s="173">
        <f t="shared" si="14"/>
        <v>8618355.5899999645</v>
      </c>
      <c r="F171" s="173">
        <f t="shared" si="18"/>
        <v>8906594.9899999667</v>
      </c>
      <c r="G171" s="100">
        <f t="shared" si="19"/>
        <v>5479630.9899999332</v>
      </c>
      <c r="H171" s="173">
        <f t="shared" si="20"/>
        <v>3300586.3500000332</v>
      </c>
    </row>
    <row r="172" spans="1:8" hidden="1" outlineLevel="1" x14ac:dyDescent="0.25">
      <c r="A172" s="176">
        <v>40025</v>
      </c>
      <c r="B172" s="173">
        <f t="shared" si="15"/>
        <v>5272740.87999993</v>
      </c>
      <c r="C172" s="173">
        <f t="shared" si="16"/>
        <v>3175968.7800000347</v>
      </c>
      <c r="D172" s="173">
        <f t="shared" si="17"/>
        <v>121606.02999999945</v>
      </c>
      <c r="E172" s="173">
        <f t="shared" si="14"/>
        <v>8570315.6899999641</v>
      </c>
      <c r="F172" s="173">
        <f t="shared" si="18"/>
        <v>8858555.0899999663</v>
      </c>
      <c r="G172" s="100">
        <f t="shared" si="19"/>
        <v>5450075.2599999327</v>
      </c>
      <c r="H172" s="173">
        <f t="shared" si="20"/>
        <v>3282783.8400000338</v>
      </c>
    </row>
    <row r="173" spans="1:8" hidden="1" outlineLevel="1" x14ac:dyDescent="0.25">
      <c r="A173" s="176">
        <v>40056</v>
      </c>
      <c r="B173" s="173">
        <f t="shared" si="15"/>
        <v>5243185.1499999296</v>
      </c>
      <c r="C173" s="173">
        <f t="shared" si="16"/>
        <v>3158166.2700000349</v>
      </c>
      <c r="D173" s="173">
        <f t="shared" si="17"/>
        <v>120924.36999999944</v>
      </c>
      <c r="E173" s="173">
        <f t="shared" si="14"/>
        <v>8522275.7899999637</v>
      </c>
      <c r="F173" s="173">
        <f t="shared" si="18"/>
        <v>8810515.189999966</v>
      </c>
      <c r="G173" s="100">
        <f t="shared" si="19"/>
        <v>5420519.5299999323</v>
      </c>
      <c r="H173" s="173">
        <f t="shared" si="20"/>
        <v>3264981.3300000336</v>
      </c>
    </row>
    <row r="174" spans="1:8" hidden="1" outlineLevel="1" x14ac:dyDescent="0.25">
      <c r="A174" s="176">
        <v>40086</v>
      </c>
      <c r="B174" s="173">
        <f t="shared" si="15"/>
        <v>5213629.4199999291</v>
      </c>
      <c r="C174" s="173">
        <f t="shared" si="16"/>
        <v>3140363.7600000352</v>
      </c>
      <c r="D174" s="173">
        <f t="shared" si="17"/>
        <v>120242.70999999944</v>
      </c>
      <c r="E174" s="173">
        <f t="shared" si="14"/>
        <v>8474235.8899999633</v>
      </c>
      <c r="F174" s="173">
        <f t="shared" si="18"/>
        <v>8762475.2899999656</v>
      </c>
      <c r="G174" s="100">
        <f t="shared" si="19"/>
        <v>5390963.7999999318</v>
      </c>
      <c r="H174" s="173">
        <f t="shared" si="20"/>
        <v>3247178.8200000338</v>
      </c>
    </row>
    <row r="175" spans="1:8" hidden="1" outlineLevel="1" x14ac:dyDescent="0.25">
      <c r="A175" s="176">
        <v>40117</v>
      </c>
      <c r="B175" s="173">
        <f t="shared" si="15"/>
        <v>5184073.6899999287</v>
      </c>
      <c r="C175" s="173">
        <f t="shared" si="16"/>
        <v>3122561.2500000354</v>
      </c>
      <c r="D175" s="173">
        <f t="shared" si="17"/>
        <v>119561.04999999944</v>
      </c>
      <c r="E175" s="173">
        <f t="shared" si="14"/>
        <v>8426195.989999963</v>
      </c>
      <c r="F175" s="173">
        <f t="shared" si="18"/>
        <v>8714435.3899999633</v>
      </c>
      <c r="G175" s="100">
        <f t="shared" si="19"/>
        <v>5361408.0699999314</v>
      </c>
      <c r="H175" s="173">
        <f t="shared" si="20"/>
        <v>3229376.310000034</v>
      </c>
    </row>
    <row r="176" spans="1:8" hidden="1" outlineLevel="1" x14ac:dyDescent="0.25">
      <c r="A176" s="176">
        <v>40147</v>
      </c>
      <c r="B176" s="173">
        <f t="shared" si="15"/>
        <v>5154517.9599999283</v>
      </c>
      <c r="C176" s="173">
        <f t="shared" si="16"/>
        <v>3104758.7400000356</v>
      </c>
      <c r="D176" s="173">
        <f t="shared" si="17"/>
        <v>118879.38999999943</v>
      </c>
      <c r="E176" s="173">
        <f t="shared" si="14"/>
        <v>8378156.0899999635</v>
      </c>
      <c r="F176" s="173">
        <f t="shared" si="18"/>
        <v>8666395.4899999648</v>
      </c>
      <c r="G176" s="100">
        <f t="shared" si="19"/>
        <v>5331852.3399999309</v>
      </c>
      <c r="H176" s="173">
        <f t="shared" si="20"/>
        <v>3211573.8000000347</v>
      </c>
    </row>
    <row r="177" spans="1:8" hidden="1" outlineLevel="1" x14ac:dyDescent="0.25">
      <c r="A177" s="176">
        <v>40178</v>
      </c>
      <c r="B177" s="173">
        <f t="shared" si="15"/>
        <v>5124962.2299999278</v>
      </c>
      <c r="C177" s="173">
        <f t="shared" si="16"/>
        <v>3086956.2300000358</v>
      </c>
      <c r="D177" s="173">
        <f t="shared" si="17"/>
        <v>118197.72999999943</v>
      </c>
      <c r="E177" s="173">
        <f t="shared" si="14"/>
        <v>8330116.1899999632</v>
      </c>
      <c r="F177" s="173">
        <f t="shared" si="18"/>
        <v>8618355.5899999645</v>
      </c>
      <c r="G177" s="100">
        <f t="shared" si="19"/>
        <v>5302296.6099999305</v>
      </c>
      <c r="H177" s="173">
        <f t="shared" si="20"/>
        <v>3193771.290000035</v>
      </c>
    </row>
    <row r="178" spans="1:8" hidden="1" outlineLevel="1" x14ac:dyDescent="0.25">
      <c r="A178" s="176">
        <v>40209</v>
      </c>
      <c r="B178" s="173">
        <f t="shared" si="15"/>
        <v>5095406.4999999274</v>
      </c>
      <c r="C178" s="173">
        <f t="shared" si="16"/>
        <v>3069153.7200000361</v>
      </c>
      <c r="D178" s="173">
        <f t="shared" si="17"/>
        <v>117516.06999999942</v>
      </c>
      <c r="E178" s="173">
        <f t="shared" si="14"/>
        <v>8282076.2899999628</v>
      </c>
      <c r="F178" s="173">
        <f t="shared" si="18"/>
        <v>8570315.689999966</v>
      </c>
      <c r="G178" s="100">
        <f t="shared" si="19"/>
        <v>5272740.87999993</v>
      </c>
      <c r="H178" s="173">
        <f t="shared" si="20"/>
        <v>3175968.7800000347</v>
      </c>
    </row>
    <row r="179" spans="1:8" hidden="1" outlineLevel="1" x14ac:dyDescent="0.25">
      <c r="A179" s="176">
        <v>40237</v>
      </c>
      <c r="B179" s="173">
        <f t="shared" si="15"/>
        <v>5065850.7699999269</v>
      </c>
      <c r="C179" s="173">
        <f t="shared" si="16"/>
        <v>3051351.2100000363</v>
      </c>
      <c r="D179" s="173">
        <f t="shared" si="17"/>
        <v>116834.40999999942</v>
      </c>
      <c r="E179" s="173">
        <f t="shared" si="14"/>
        <v>8234036.3899999624</v>
      </c>
      <c r="F179" s="173">
        <f t="shared" si="18"/>
        <v>8522275.7899999637</v>
      </c>
      <c r="G179" s="100">
        <f t="shared" si="19"/>
        <v>5243185.1499999296</v>
      </c>
      <c r="H179" s="173">
        <f t="shared" si="20"/>
        <v>3158166.2700000349</v>
      </c>
    </row>
    <row r="180" spans="1:8" hidden="1" outlineLevel="1" x14ac:dyDescent="0.25">
      <c r="A180" s="176">
        <v>40268</v>
      </c>
      <c r="B180" s="173">
        <f t="shared" si="15"/>
        <v>5036295.0399999265</v>
      </c>
      <c r="C180" s="173">
        <f t="shared" si="16"/>
        <v>3033548.7000000365</v>
      </c>
      <c r="D180" s="173">
        <f t="shared" si="17"/>
        <v>116152.74999999942</v>
      </c>
      <c r="E180" s="173">
        <f t="shared" si="14"/>
        <v>8185996.489999962</v>
      </c>
      <c r="F180" s="173">
        <f t="shared" si="18"/>
        <v>8474235.8899999633</v>
      </c>
      <c r="G180" s="100">
        <f t="shared" si="19"/>
        <v>5213629.4199999291</v>
      </c>
      <c r="H180" s="173">
        <f t="shared" si="20"/>
        <v>3140363.7600000356</v>
      </c>
    </row>
    <row r="181" spans="1:8" hidden="1" outlineLevel="1" x14ac:dyDescent="0.25">
      <c r="A181" s="176">
        <v>40298</v>
      </c>
      <c r="B181" s="173">
        <f t="shared" si="15"/>
        <v>5006739.309999926</v>
      </c>
      <c r="C181" s="173">
        <f t="shared" si="16"/>
        <v>3015746.1900000367</v>
      </c>
      <c r="D181" s="173">
        <f t="shared" si="17"/>
        <v>115471.08999999941</v>
      </c>
      <c r="E181" s="173">
        <f t="shared" si="14"/>
        <v>8137956.5899999626</v>
      </c>
      <c r="F181" s="173">
        <f t="shared" si="18"/>
        <v>8426195.989999963</v>
      </c>
      <c r="G181" s="100">
        <f t="shared" si="19"/>
        <v>5184073.6899999287</v>
      </c>
      <c r="H181" s="173">
        <f t="shared" si="20"/>
        <v>3122561.2500000354</v>
      </c>
    </row>
    <row r="182" spans="1:8" hidden="1" outlineLevel="1" x14ac:dyDescent="0.25">
      <c r="A182" s="176">
        <v>40329</v>
      </c>
      <c r="B182" s="173">
        <f t="shared" si="15"/>
        <v>4977183.5799999256</v>
      </c>
      <c r="C182" s="173">
        <f t="shared" si="16"/>
        <v>2997943.680000037</v>
      </c>
      <c r="D182" s="173">
        <f t="shared" si="17"/>
        <v>114789.42999999941</v>
      </c>
      <c r="E182" s="173">
        <f t="shared" si="14"/>
        <v>8089916.6899999622</v>
      </c>
      <c r="F182" s="173">
        <f t="shared" si="18"/>
        <v>8378156.0899999626</v>
      </c>
      <c r="G182" s="100">
        <f t="shared" si="19"/>
        <v>5154517.9599999283</v>
      </c>
      <c r="H182" s="173">
        <f t="shared" si="20"/>
        <v>3104758.7400000356</v>
      </c>
    </row>
    <row r="183" spans="1:8" hidden="1" outlineLevel="1" x14ac:dyDescent="0.25">
      <c r="A183" s="176">
        <v>40359</v>
      </c>
      <c r="B183" s="173">
        <f t="shared" si="15"/>
        <v>4947627.8499999251</v>
      </c>
      <c r="C183" s="173">
        <f t="shared" si="16"/>
        <v>2980141.1700000372</v>
      </c>
      <c r="D183" s="173">
        <f t="shared" si="17"/>
        <v>114107.76999999941</v>
      </c>
      <c r="E183" s="173">
        <f t="shared" si="14"/>
        <v>8041876.7899999619</v>
      </c>
      <c r="F183" s="173">
        <f t="shared" si="18"/>
        <v>8330116.1899999641</v>
      </c>
      <c r="G183" s="100">
        <f t="shared" si="19"/>
        <v>5124962.2299999278</v>
      </c>
      <c r="H183" s="173">
        <f t="shared" si="20"/>
        <v>3086956.2300000358</v>
      </c>
    </row>
    <row r="184" spans="1:8" hidden="1" outlineLevel="1" x14ac:dyDescent="0.25">
      <c r="A184" s="176">
        <v>40390</v>
      </c>
      <c r="B184" s="173">
        <f t="shared" si="15"/>
        <v>4918072.1199999247</v>
      </c>
      <c r="C184" s="173">
        <f t="shared" si="16"/>
        <v>2962338.6600000374</v>
      </c>
      <c r="D184" s="173">
        <f t="shared" si="17"/>
        <v>113426.1099999994</v>
      </c>
      <c r="E184" s="173">
        <f t="shared" si="14"/>
        <v>7993836.8899999615</v>
      </c>
      <c r="F184" s="173">
        <f t="shared" si="18"/>
        <v>8282076.2899999628</v>
      </c>
      <c r="G184" s="100">
        <f t="shared" si="19"/>
        <v>5095406.4999999274</v>
      </c>
      <c r="H184" s="173">
        <f t="shared" si="20"/>
        <v>3069153.7200000365</v>
      </c>
    </row>
    <row r="185" spans="1:8" hidden="1" outlineLevel="1" x14ac:dyDescent="0.25">
      <c r="A185" s="176">
        <v>40421</v>
      </c>
      <c r="B185" s="173">
        <f t="shared" si="15"/>
        <v>4888516.3899999242</v>
      </c>
      <c r="C185" s="173">
        <f t="shared" si="16"/>
        <v>2944536.1500000376</v>
      </c>
      <c r="D185" s="173">
        <f t="shared" si="17"/>
        <v>112744.4499999994</v>
      </c>
      <c r="E185" s="173">
        <f t="shared" si="14"/>
        <v>7945796.9899999611</v>
      </c>
      <c r="F185" s="173">
        <f t="shared" si="18"/>
        <v>8234036.3899999624</v>
      </c>
      <c r="G185" s="100">
        <f t="shared" si="19"/>
        <v>5065850.7699999269</v>
      </c>
      <c r="H185" s="173">
        <f t="shared" si="20"/>
        <v>3051351.2100000367</v>
      </c>
    </row>
    <row r="186" spans="1:8" hidden="1" outlineLevel="1" x14ac:dyDescent="0.25">
      <c r="A186" s="176">
        <v>40451</v>
      </c>
      <c r="B186" s="173">
        <f t="shared" si="15"/>
        <v>4858960.6599999238</v>
      </c>
      <c r="C186" s="173">
        <f t="shared" si="16"/>
        <v>2926733.6400000378</v>
      </c>
      <c r="D186" s="173">
        <f t="shared" si="17"/>
        <v>112062.7899999994</v>
      </c>
      <c r="E186" s="173">
        <f t="shared" si="14"/>
        <v>7897757.0899999607</v>
      </c>
      <c r="F186" s="173">
        <f t="shared" si="18"/>
        <v>8185996.489999962</v>
      </c>
      <c r="G186" s="100">
        <f t="shared" si="19"/>
        <v>5036295.0399999265</v>
      </c>
      <c r="H186" s="173">
        <f t="shared" si="20"/>
        <v>3033548.7000000365</v>
      </c>
    </row>
    <row r="187" spans="1:8" hidden="1" outlineLevel="1" x14ac:dyDescent="0.25">
      <c r="A187" s="176">
        <v>40482</v>
      </c>
      <c r="B187" s="173">
        <f t="shared" si="15"/>
        <v>4829404.9299999233</v>
      </c>
      <c r="C187" s="173">
        <f t="shared" si="16"/>
        <v>2908931.1300000381</v>
      </c>
      <c r="D187" s="173">
        <f t="shared" si="17"/>
        <v>111381.12999999939</v>
      </c>
      <c r="E187" s="173">
        <f t="shared" si="14"/>
        <v>7849717.1899999604</v>
      </c>
      <c r="F187" s="173">
        <f t="shared" si="18"/>
        <v>8137956.5899999626</v>
      </c>
      <c r="G187" s="100">
        <f t="shared" si="19"/>
        <v>5006739.309999926</v>
      </c>
      <c r="H187" s="173">
        <f t="shared" si="20"/>
        <v>3015746.1900000367</v>
      </c>
    </row>
    <row r="188" spans="1:8" hidden="1" outlineLevel="1" x14ac:dyDescent="0.25">
      <c r="A188" s="176">
        <v>40512</v>
      </c>
      <c r="B188" s="173">
        <f t="shared" si="15"/>
        <v>4799849.1999999229</v>
      </c>
      <c r="C188" s="173">
        <f t="shared" si="16"/>
        <v>2891128.6200000383</v>
      </c>
      <c r="D188" s="173">
        <f t="shared" si="17"/>
        <v>110699.46999999939</v>
      </c>
      <c r="E188" s="173">
        <f t="shared" si="14"/>
        <v>7801677.2899999609</v>
      </c>
      <c r="F188" s="173">
        <f t="shared" si="18"/>
        <v>8089916.6899999632</v>
      </c>
      <c r="G188" s="100">
        <f t="shared" si="19"/>
        <v>4977183.5799999256</v>
      </c>
      <c r="H188" s="173">
        <f t="shared" si="20"/>
        <v>2997943.6800000374</v>
      </c>
    </row>
    <row r="189" spans="1:8" hidden="1" outlineLevel="1" x14ac:dyDescent="0.25">
      <c r="A189" s="176">
        <v>40543</v>
      </c>
      <c r="B189" s="173">
        <f t="shared" si="15"/>
        <v>4770293.4699999224</v>
      </c>
      <c r="C189" s="173">
        <f t="shared" si="16"/>
        <v>2873326.1100000385</v>
      </c>
      <c r="D189" s="173">
        <f t="shared" si="17"/>
        <v>110017.80999999939</v>
      </c>
      <c r="E189" s="173">
        <f t="shared" si="14"/>
        <v>7753637.3899999605</v>
      </c>
      <c r="F189" s="173">
        <f t="shared" si="18"/>
        <v>8041876.7899999619</v>
      </c>
      <c r="G189" s="100">
        <f t="shared" si="19"/>
        <v>4947627.8499999251</v>
      </c>
      <c r="H189" s="173">
        <f t="shared" si="20"/>
        <v>2980141.1700000372</v>
      </c>
    </row>
    <row r="190" spans="1:8" hidden="1" outlineLevel="1" x14ac:dyDescent="0.25">
      <c r="A190" s="176">
        <v>40574</v>
      </c>
      <c r="B190" s="173">
        <f t="shared" si="15"/>
        <v>4740737.739999922</v>
      </c>
      <c r="C190" s="173">
        <f t="shared" si="16"/>
        <v>2855523.6000000387</v>
      </c>
      <c r="D190" s="173">
        <f t="shared" si="17"/>
        <v>109336.14999999938</v>
      </c>
      <c r="E190" s="173">
        <f t="shared" si="14"/>
        <v>7705597.4899999602</v>
      </c>
      <c r="F190" s="173">
        <f t="shared" si="18"/>
        <v>7993836.8899999605</v>
      </c>
      <c r="G190" s="100">
        <f t="shared" si="19"/>
        <v>4918072.1199999247</v>
      </c>
      <c r="H190" s="173">
        <f t="shared" si="20"/>
        <v>2962338.6600000374</v>
      </c>
    </row>
    <row r="191" spans="1:8" hidden="1" outlineLevel="1" x14ac:dyDescent="0.25">
      <c r="A191" s="176">
        <v>40602</v>
      </c>
      <c r="B191" s="173">
        <f t="shared" si="15"/>
        <v>4711182.0099999215</v>
      </c>
      <c r="C191" s="173">
        <f t="shared" si="16"/>
        <v>2837721.090000039</v>
      </c>
      <c r="D191" s="173">
        <f t="shared" si="17"/>
        <v>108654.48999999938</v>
      </c>
      <c r="E191" s="173">
        <f t="shared" si="14"/>
        <v>7657557.5899999598</v>
      </c>
      <c r="F191" s="173">
        <f t="shared" si="18"/>
        <v>7945796.9899999611</v>
      </c>
      <c r="G191" s="100">
        <f t="shared" si="19"/>
        <v>4888516.3899999242</v>
      </c>
      <c r="H191" s="173">
        <f t="shared" si="20"/>
        <v>2944536.1500000376</v>
      </c>
    </row>
    <row r="192" spans="1:8" hidden="1" outlineLevel="1" x14ac:dyDescent="0.25">
      <c r="A192" s="176">
        <v>40633</v>
      </c>
      <c r="B192" s="173">
        <f t="shared" si="15"/>
        <v>4681626.2799999211</v>
      </c>
      <c r="C192" s="173">
        <f t="shared" si="16"/>
        <v>2819918.5800000392</v>
      </c>
      <c r="D192" s="173">
        <f t="shared" si="17"/>
        <v>107972.82999999938</v>
      </c>
      <c r="E192" s="173">
        <f t="shared" si="14"/>
        <v>7609517.6899999594</v>
      </c>
      <c r="F192" s="173">
        <f t="shared" si="18"/>
        <v>7897757.0899999617</v>
      </c>
      <c r="G192" s="100">
        <f t="shared" si="19"/>
        <v>4858960.6599999238</v>
      </c>
      <c r="H192" s="173">
        <f t="shared" si="20"/>
        <v>2926733.6400000383</v>
      </c>
    </row>
    <row r="193" spans="1:8" hidden="1" outlineLevel="1" x14ac:dyDescent="0.25">
      <c r="A193" s="176">
        <v>40663</v>
      </c>
      <c r="B193" s="173">
        <f t="shared" si="15"/>
        <v>4652070.5499999207</v>
      </c>
      <c r="C193" s="173">
        <f t="shared" si="16"/>
        <v>2802116.0700000394</v>
      </c>
      <c r="D193" s="173">
        <f t="shared" si="17"/>
        <v>107291.16999999937</v>
      </c>
      <c r="E193" s="173">
        <f t="shared" si="14"/>
        <v>7561477.7899999591</v>
      </c>
      <c r="F193" s="173">
        <f t="shared" si="18"/>
        <v>7849717.1899999604</v>
      </c>
      <c r="G193" s="100">
        <f t="shared" si="19"/>
        <v>4829404.9299999233</v>
      </c>
      <c r="H193" s="173">
        <f t="shared" si="20"/>
        <v>2908931.1300000381</v>
      </c>
    </row>
    <row r="194" spans="1:8" hidden="1" outlineLevel="1" x14ac:dyDescent="0.25">
      <c r="A194" s="176">
        <v>40694</v>
      </c>
      <c r="B194" s="173">
        <f t="shared" si="15"/>
        <v>4622514.8199999202</v>
      </c>
      <c r="C194" s="173">
        <f t="shared" si="16"/>
        <v>2784313.5600000396</v>
      </c>
      <c r="D194" s="173">
        <f t="shared" si="17"/>
        <v>106609.50999999937</v>
      </c>
      <c r="E194" s="173">
        <f t="shared" si="14"/>
        <v>7513437.8899999596</v>
      </c>
      <c r="F194" s="173">
        <f t="shared" si="18"/>
        <v>7801677.2899999609</v>
      </c>
      <c r="G194" s="100">
        <f t="shared" si="19"/>
        <v>4799849.1999999229</v>
      </c>
      <c r="H194" s="173">
        <f t="shared" si="20"/>
        <v>2891128.6200000383</v>
      </c>
    </row>
    <row r="195" spans="1:8" hidden="1" outlineLevel="1" x14ac:dyDescent="0.25">
      <c r="A195" s="176">
        <v>40724</v>
      </c>
      <c r="B195" s="173">
        <f t="shared" si="15"/>
        <v>4592959.0899999198</v>
      </c>
      <c r="C195" s="173">
        <f t="shared" si="16"/>
        <v>2766511.0500000399</v>
      </c>
      <c r="D195" s="173">
        <f t="shared" si="17"/>
        <v>105927.84999999937</v>
      </c>
      <c r="E195" s="173">
        <f t="shared" si="14"/>
        <v>7465397.9899999592</v>
      </c>
      <c r="F195" s="173">
        <f t="shared" si="18"/>
        <v>7753637.3899999596</v>
      </c>
      <c r="G195" s="100">
        <f t="shared" si="19"/>
        <v>4770293.4699999224</v>
      </c>
      <c r="H195" s="173">
        <f t="shared" si="20"/>
        <v>2873326.1100000385</v>
      </c>
    </row>
    <row r="196" spans="1:8" hidden="1" outlineLevel="1" x14ac:dyDescent="0.25">
      <c r="A196" s="176">
        <v>40755</v>
      </c>
      <c r="B196" s="173">
        <f t="shared" si="15"/>
        <v>4563403.3599999193</v>
      </c>
      <c r="C196" s="173">
        <f t="shared" si="16"/>
        <v>2748708.5400000401</v>
      </c>
      <c r="D196" s="173">
        <f t="shared" si="17"/>
        <v>105246.18999999936</v>
      </c>
      <c r="E196" s="173">
        <f t="shared" si="14"/>
        <v>7417358.0899999589</v>
      </c>
      <c r="F196" s="173">
        <f t="shared" si="18"/>
        <v>7705597.4899999611</v>
      </c>
      <c r="G196" s="100">
        <f t="shared" si="19"/>
        <v>4740737.739999922</v>
      </c>
      <c r="H196" s="173">
        <f t="shared" si="20"/>
        <v>2855523.6000000392</v>
      </c>
    </row>
    <row r="197" spans="1:8" hidden="1" outlineLevel="1" x14ac:dyDescent="0.25">
      <c r="A197" s="176">
        <v>40786</v>
      </c>
      <c r="B197" s="173">
        <f t="shared" si="15"/>
        <v>4533847.6299999189</v>
      </c>
      <c r="C197" s="173">
        <f t="shared" si="16"/>
        <v>2730906.0300000403</v>
      </c>
      <c r="D197" s="173">
        <f t="shared" si="17"/>
        <v>104564.52999999936</v>
      </c>
      <c r="E197" s="173">
        <f t="shared" si="14"/>
        <v>7369318.1899999585</v>
      </c>
      <c r="F197" s="173">
        <f t="shared" si="18"/>
        <v>7657557.5899999598</v>
      </c>
      <c r="G197" s="100">
        <f t="shared" si="19"/>
        <v>4711182.0099999215</v>
      </c>
      <c r="H197" s="173">
        <f t="shared" si="20"/>
        <v>2837721.090000039</v>
      </c>
    </row>
    <row r="198" spans="1:8" hidden="1" outlineLevel="1" x14ac:dyDescent="0.25">
      <c r="A198" s="176">
        <v>40816</v>
      </c>
      <c r="B198" s="173">
        <f t="shared" si="15"/>
        <v>4504291.8999999184</v>
      </c>
      <c r="C198" s="173">
        <f t="shared" si="16"/>
        <v>2713103.5200000405</v>
      </c>
      <c r="D198" s="173">
        <f t="shared" si="17"/>
        <v>103882.86999999936</v>
      </c>
      <c r="E198" s="173">
        <f t="shared" si="14"/>
        <v>7321278.2899999581</v>
      </c>
      <c r="F198" s="173">
        <f t="shared" si="18"/>
        <v>7609517.6899999594</v>
      </c>
      <c r="G198" s="100">
        <f t="shared" si="19"/>
        <v>4681626.2799999211</v>
      </c>
      <c r="H198" s="173">
        <f t="shared" si="20"/>
        <v>2819918.5800000392</v>
      </c>
    </row>
    <row r="199" spans="1:8" hidden="1" outlineLevel="1" x14ac:dyDescent="0.25">
      <c r="A199" s="176">
        <v>40847</v>
      </c>
      <c r="B199" s="173">
        <f t="shared" si="15"/>
        <v>4474736.169999918</v>
      </c>
      <c r="C199" s="173">
        <f t="shared" si="16"/>
        <v>2695301.0100000408</v>
      </c>
      <c r="D199" s="173">
        <f t="shared" si="17"/>
        <v>103201.20999999935</v>
      </c>
      <c r="E199" s="173">
        <f t="shared" si="14"/>
        <v>7273238.3899999578</v>
      </c>
      <c r="F199" s="173">
        <f t="shared" si="18"/>
        <v>7561477.7899999609</v>
      </c>
      <c r="G199" s="100">
        <f t="shared" si="19"/>
        <v>4652070.5499999207</v>
      </c>
      <c r="H199" s="173">
        <f t="shared" si="20"/>
        <v>2802116.0700000394</v>
      </c>
    </row>
    <row r="200" spans="1:8" hidden="1" outlineLevel="1" x14ac:dyDescent="0.25">
      <c r="A200" s="176">
        <v>40877</v>
      </c>
      <c r="B200" s="173">
        <f t="shared" si="15"/>
        <v>4445180.4399999175</v>
      </c>
      <c r="C200" s="173">
        <f t="shared" si="16"/>
        <v>2677498.500000041</v>
      </c>
      <c r="D200" s="173">
        <f t="shared" si="17"/>
        <v>102519.54999999935</v>
      </c>
      <c r="E200" s="173">
        <f t="shared" si="14"/>
        <v>7225198.4899999574</v>
      </c>
      <c r="F200" s="173">
        <f t="shared" si="18"/>
        <v>7513437.8899999596</v>
      </c>
      <c r="G200" s="100">
        <f t="shared" si="19"/>
        <v>4622514.8199999202</v>
      </c>
      <c r="H200" s="173">
        <f t="shared" si="20"/>
        <v>2784313.5600000401</v>
      </c>
    </row>
    <row r="201" spans="1:8" hidden="1" outlineLevel="1" x14ac:dyDescent="0.25">
      <c r="A201" s="176">
        <v>40908</v>
      </c>
      <c r="B201" s="173">
        <f t="shared" si="15"/>
        <v>4415624.7099999171</v>
      </c>
      <c r="C201" s="173">
        <f t="shared" si="16"/>
        <v>2659695.9900000412</v>
      </c>
      <c r="D201" s="173">
        <f t="shared" si="17"/>
        <v>101837.88999999934</v>
      </c>
      <c r="E201" s="173">
        <f t="shared" si="14"/>
        <v>7177158.5899999579</v>
      </c>
      <c r="F201" s="173">
        <f t="shared" si="18"/>
        <v>7465397.9899999583</v>
      </c>
      <c r="G201" s="100">
        <f t="shared" si="19"/>
        <v>4592959.0899999198</v>
      </c>
      <c r="H201" s="173">
        <f t="shared" si="20"/>
        <v>2766511.0500000399</v>
      </c>
    </row>
    <row r="202" spans="1:8" hidden="1" outlineLevel="1" x14ac:dyDescent="0.25">
      <c r="A202" s="176">
        <v>40939</v>
      </c>
      <c r="B202" s="173">
        <f t="shared" si="15"/>
        <v>4386068.9799999166</v>
      </c>
      <c r="C202" s="173">
        <f t="shared" si="16"/>
        <v>2641893.4800000414</v>
      </c>
      <c r="D202" s="173">
        <f t="shared" si="17"/>
        <v>101156.22999999934</v>
      </c>
      <c r="E202" s="173">
        <f t="shared" si="14"/>
        <v>7129118.6899999576</v>
      </c>
      <c r="F202" s="173">
        <f t="shared" si="18"/>
        <v>7417358.0899999589</v>
      </c>
      <c r="G202" s="100">
        <f t="shared" si="19"/>
        <v>4563403.3599999193</v>
      </c>
      <c r="H202" s="173">
        <f t="shared" si="20"/>
        <v>2748708.5400000405</v>
      </c>
    </row>
    <row r="203" spans="1:8" hidden="1" outlineLevel="1" x14ac:dyDescent="0.25">
      <c r="A203" s="176">
        <v>40967</v>
      </c>
      <c r="B203" s="173">
        <f t="shared" si="15"/>
        <v>4356513.2499999162</v>
      </c>
      <c r="C203" s="173">
        <f t="shared" si="16"/>
        <v>2624090.9700000416</v>
      </c>
      <c r="D203" s="173">
        <f t="shared" si="17"/>
        <v>100474.56999999934</v>
      </c>
      <c r="E203" s="173">
        <f t="shared" si="14"/>
        <v>7081078.7899999572</v>
      </c>
      <c r="F203" s="173">
        <f t="shared" si="18"/>
        <v>7369318.1899999566</v>
      </c>
      <c r="G203" s="100">
        <f t="shared" si="19"/>
        <v>4533847.6299999189</v>
      </c>
      <c r="H203" s="173">
        <f t="shared" si="20"/>
        <v>2730906.0300000403</v>
      </c>
    </row>
    <row r="204" spans="1:8" hidden="1" outlineLevel="1" x14ac:dyDescent="0.25">
      <c r="A204" s="176">
        <v>40999</v>
      </c>
      <c r="B204" s="173">
        <f t="shared" si="15"/>
        <v>4326957.5199999157</v>
      </c>
      <c r="C204" s="173">
        <f t="shared" si="16"/>
        <v>2606288.4600000419</v>
      </c>
      <c r="D204" s="173">
        <f t="shared" si="17"/>
        <v>99792.909999999334</v>
      </c>
      <c r="E204" s="173">
        <f t="shared" si="14"/>
        <v>7033038.8899999568</v>
      </c>
      <c r="F204" s="173">
        <f t="shared" si="18"/>
        <v>7321278.2899999591</v>
      </c>
      <c r="G204" s="100">
        <f t="shared" si="19"/>
        <v>4504291.8999999184</v>
      </c>
      <c r="H204" s="173">
        <f t="shared" si="20"/>
        <v>2713103.5200000405</v>
      </c>
    </row>
    <row r="205" spans="1:8" hidden="1" outlineLevel="1" x14ac:dyDescent="0.25">
      <c r="A205" s="176">
        <v>41029</v>
      </c>
      <c r="B205" s="173">
        <f t="shared" si="15"/>
        <v>4297401.7899999153</v>
      </c>
      <c r="C205" s="173">
        <f t="shared" si="16"/>
        <v>2588485.9500000421</v>
      </c>
      <c r="D205" s="173">
        <f t="shared" si="17"/>
        <v>99111.249999999331</v>
      </c>
      <c r="E205" s="173">
        <f t="shared" si="14"/>
        <v>6984998.9899999565</v>
      </c>
      <c r="F205" s="173">
        <f t="shared" si="18"/>
        <v>7273238.3899999587</v>
      </c>
      <c r="G205" s="100">
        <f t="shared" si="19"/>
        <v>4474736.169999918</v>
      </c>
      <c r="H205" s="173">
        <f t="shared" si="20"/>
        <v>2695301.0100000408</v>
      </c>
    </row>
    <row r="206" spans="1:8" hidden="1" outlineLevel="1" x14ac:dyDescent="0.25">
      <c r="A206" s="176">
        <v>41060</v>
      </c>
      <c r="B206" s="173">
        <f t="shared" si="15"/>
        <v>4267846.0599999148</v>
      </c>
      <c r="C206" s="173">
        <f t="shared" si="16"/>
        <v>2570683.4400000423</v>
      </c>
      <c r="D206" s="173">
        <f t="shared" si="17"/>
        <v>98429.589999999327</v>
      </c>
      <c r="E206" s="173">
        <f t="shared" si="14"/>
        <v>6936959.0899999561</v>
      </c>
      <c r="F206" s="173">
        <f t="shared" si="18"/>
        <v>7225198.4899999574</v>
      </c>
      <c r="G206" s="100">
        <f t="shared" si="19"/>
        <v>4445180.4399999175</v>
      </c>
      <c r="H206" s="173">
        <f t="shared" si="20"/>
        <v>2677498.5000000414</v>
      </c>
    </row>
    <row r="207" spans="1:8" hidden="1" outlineLevel="1" x14ac:dyDescent="0.25">
      <c r="A207" s="176">
        <v>41090</v>
      </c>
      <c r="B207" s="173">
        <f t="shared" si="15"/>
        <v>4238290.3299999144</v>
      </c>
      <c r="C207" s="173">
        <f t="shared" si="16"/>
        <v>2552880.9300000425</v>
      </c>
      <c r="D207" s="173">
        <f t="shared" si="17"/>
        <v>97747.929999999324</v>
      </c>
      <c r="E207" s="173">
        <f t="shared" ref="E207:E270" si="21">SUM(B207:D207)</f>
        <v>6888919.1899999566</v>
      </c>
      <c r="F207" s="173">
        <f t="shared" si="18"/>
        <v>7177158.5899999579</v>
      </c>
      <c r="G207" s="100">
        <f t="shared" si="19"/>
        <v>4415624.7099999171</v>
      </c>
      <c r="H207" s="100">
        <f t="shared" si="20"/>
        <v>2659695.9900000412</v>
      </c>
    </row>
    <row r="208" spans="1:8" hidden="1" outlineLevel="1" x14ac:dyDescent="0.25">
      <c r="A208" s="176">
        <v>41121</v>
      </c>
      <c r="B208" s="173">
        <f t="shared" ref="B208:B271" si="22">B207-$B$13</f>
        <v>4208734.5999999139</v>
      </c>
      <c r="C208" s="173">
        <f t="shared" ref="C208:C271" si="23">C207-$C$13</f>
        <v>2535078.4200000428</v>
      </c>
      <c r="D208" s="173">
        <f t="shared" ref="D208:D271" si="24">D207-$D$13</f>
        <v>97066.26999999932</v>
      </c>
      <c r="E208" s="173">
        <f t="shared" si="21"/>
        <v>6840879.2899999563</v>
      </c>
      <c r="F208" s="173">
        <f t="shared" si="18"/>
        <v>7129118.6899999566</v>
      </c>
      <c r="G208" s="100">
        <f t="shared" si="19"/>
        <v>4386068.9799999166</v>
      </c>
      <c r="H208" s="100">
        <f t="shared" si="20"/>
        <v>2641893.4800000414</v>
      </c>
    </row>
    <row r="209" spans="1:8" hidden="1" outlineLevel="1" x14ac:dyDescent="0.25">
      <c r="A209" s="176">
        <v>41152</v>
      </c>
      <c r="B209" s="173">
        <f t="shared" si="22"/>
        <v>4179178.869999914</v>
      </c>
      <c r="C209" s="173">
        <f t="shared" si="23"/>
        <v>2517275.910000043</v>
      </c>
      <c r="D209" s="173">
        <f t="shared" si="24"/>
        <v>96384.609999999317</v>
      </c>
      <c r="E209" s="173">
        <f t="shared" si="21"/>
        <v>6792839.3899999559</v>
      </c>
      <c r="F209" s="173">
        <f t="shared" si="18"/>
        <v>7081078.7899999581</v>
      </c>
      <c r="G209" s="100">
        <f t="shared" si="19"/>
        <v>4356513.2499999162</v>
      </c>
      <c r="H209" s="100">
        <f t="shared" si="20"/>
        <v>2624090.9700000416</v>
      </c>
    </row>
    <row r="210" spans="1:8" hidden="1" outlineLevel="1" x14ac:dyDescent="0.25">
      <c r="A210" s="176">
        <v>41182</v>
      </c>
      <c r="B210" s="173">
        <f t="shared" si="22"/>
        <v>4149623.139999914</v>
      </c>
      <c r="C210" s="173">
        <f t="shared" si="23"/>
        <v>2499473.4000000432</v>
      </c>
      <c r="D210" s="173">
        <f t="shared" si="24"/>
        <v>95702.949999999313</v>
      </c>
      <c r="E210" s="173">
        <f t="shared" si="21"/>
        <v>6744799.4899999565</v>
      </c>
      <c r="F210" s="173">
        <f t="shared" si="18"/>
        <v>7033038.8899999568</v>
      </c>
      <c r="G210" s="100">
        <f t="shared" si="19"/>
        <v>4326957.5199999157</v>
      </c>
      <c r="H210" s="100">
        <f t="shared" si="20"/>
        <v>2606288.4600000423</v>
      </c>
    </row>
    <row r="211" spans="1:8" hidden="1" outlineLevel="1" x14ac:dyDescent="0.25">
      <c r="A211" s="176">
        <v>41213</v>
      </c>
      <c r="B211" s="173">
        <f t="shared" si="22"/>
        <v>4120067.409999914</v>
      </c>
      <c r="C211" s="173">
        <f t="shared" si="23"/>
        <v>2481670.8900000434</v>
      </c>
      <c r="D211" s="173">
        <f t="shared" si="24"/>
        <v>95021.28999999931</v>
      </c>
      <c r="E211" s="173">
        <f t="shared" si="21"/>
        <v>6696759.589999957</v>
      </c>
      <c r="F211" s="173">
        <f t="shared" si="18"/>
        <v>6984998.9899999546</v>
      </c>
      <c r="G211" s="100">
        <f t="shared" si="19"/>
        <v>4297401.7899999153</v>
      </c>
      <c r="H211" s="100">
        <f t="shared" si="20"/>
        <v>2588485.9500000421</v>
      </c>
    </row>
    <row r="212" spans="1:8" hidden="1" outlineLevel="1" x14ac:dyDescent="0.25">
      <c r="A212" s="176">
        <v>41243</v>
      </c>
      <c r="B212" s="173">
        <f t="shared" si="22"/>
        <v>4090511.679999914</v>
      </c>
      <c r="C212" s="173">
        <f t="shared" si="23"/>
        <v>2463868.3800000437</v>
      </c>
      <c r="D212" s="173">
        <f t="shared" si="24"/>
        <v>94339.629999999306</v>
      </c>
      <c r="E212" s="173">
        <f t="shared" si="21"/>
        <v>6648719.6899999566</v>
      </c>
      <c r="F212" s="173">
        <f t="shared" si="18"/>
        <v>6936959.0899999579</v>
      </c>
      <c r="G212" s="100">
        <f t="shared" si="19"/>
        <v>4267846.0599999148</v>
      </c>
      <c r="H212" s="100">
        <f t="shared" si="20"/>
        <v>2570683.4400000423</v>
      </c>
    </row>
    <row r="213" spans="1:8" hidden="1" outlineLevel="1" x14ac:dyDescent="0.25">
      <c r="A213" s="176">
        <v>41274</v>
      </c>
      <c r="B213" s="173">
        <f t="shared" si="22"/>
        <v>4060955.949999914</v>
      </c>
      <c r="C213" s="173">
        <f t="shared" si="23"/>
        <v>2446065.8700000439</v>
      </c>
      <c r="D213" s="173">
        <f t="shared" si="24"/>
        <v>93657.969999999303</v>
      </c>
      <c r="E213" s="173">
        <f t="shared" si="21"/>
        <v>6600679.7899999572</v>
      </c>
      <c r="F213" s="173">
        <f t="shared" si="18"/>
        <v>6888919.1899999566</v>
      </c>
      <c r="G213" s="100">
        <f t="shared" si="19"/>
        <v>4238290.3299999144</v>
      </c>
      <c r="H213" s="100">
        <f t="shared" si="20"/>
        <v>2552880.9300000425</v>
      </c>
    </row>
    <row r="214" spans="1:8" hidden="1" outlineLevel="1" x14ac:dyDescent="0.25">
      <c r="A214" s="176">
        <v>41305</v>
      </c>
      <c r="B214" s="173">
        <f t="shared" si="22"/>
        <v>4031400.2199999141</v>
      </c>
      <c r="C214" s="173">
        <f t="shared" si="23"/>
        <v>2428263.3600000441</v>
      </c>
      <c r="D214" s="173">
        <f t="shared" si="24"/>
        <v>92976.309999999299</v>
      </c>
      <c r="E214" s="173">
        <f t="shared" si="21"/>
        <v>6552639.8899999578</v>
      </c>
      <c r="F214" s="173">
        <f t="shared" si="18"/>
        <v>6840879.2899999572</v>
      </c>
      <c r="G214" s="100">
        <f t="shared" si="19"/>
        <v>4208734.5999999149</v>
      </c>
      <c r="H214" s="100">
        <f t="shared" si="20"/>
        <v>2535078.4200000432</v>
      </c>
    </row>
    <row r="215" spans="1:8" hidden="1" outlineLevel="1" x14ac:dyDescent="0.25">
      <c r="A215" s="176">
        <v>41333</v>
      </c>
      <c r="B215" s="173">
        <f t="shared" si="22"/>
        <v>4001844.4899999141</v>
      </c>
      <c r="C215" s="173">
        <f t="shared" si="23"/>
        <v>2410460.8500000443</v>
      </c>
      <c r="D215" s="173">
        <f t="shared" si="24"/>
        <v>92294.649999999296</v>
      </c>
      <c r="E215" s="173">
        <f t="shared" si="21"/>
        <v>6504599.9899999583</v>
      </c>
      <c r="F215" s="173">
        <f t="shared" si="18"/>
        <v>6792839.3899999568</v>
      </c>
      <c r="G215" s="100">
        <f t="shared" si="19"/>
        <v>4179178.8699999149</v>
      </c>
      <c r="H215" s="100">
        <f t="shared" si="20"/>
        <v>2517275.910000043</v>
      </c>
    </row>
    <row r="216" spans="1:8" hidden="1" outlineLevel="1" x14ac:dyDescent="0.25">
      <c r="A216" s="176">
        <v>41364</v>
      </c>
      <c r="B216" s="173">
        <f t="shared" si="22"/>
        <v>3972288.7599999141</v>
      </c>
      <c r="C216" s="173">
        <f t="shared" si="23"/>
        <v>2392658.3400000446</v>
      </c>
      <c r="D216" s="173">
        <f t="shared" si="24"/>
        <v>91612.989999999292</v>
      </c>
      <c r="E216" s="173">
        <f t="shared" si="21"/>
        <v>6456560.0899999579</v>
      </c>
      <c r="F216" s="173">
        <f t="shared" si="18"/>
        <v>6744799.4899999574</v>
      </c>
      <c r="G216" s="100">
        <f t="shared" si="19"/>
        <v>4149623.1399999149</v>
      </c>
      <c r="H216" s="100">
        <f t="shared" si="20"/>
        <v>2499473.4000000432</v>
      </c>
    </row>
    <row r="217" spans="1:8" hidden="1" outlineLevel="1" x14ac:dyDescent="0.25">
      <c r="A217" s="176">
        <v>41394</v>
      </c>
      <c r="B217" s="173">
        <f t="shared" si="22"/>
        <v>3942733.0299999141</v>
      </c>
      <c r="C217" s="173">
        <f t="shared" si="23"/>
        <v>2374855.8300000448</v>
      </c>
      <c r="D217" s="173">
        <f t="shared" si="24"/>
        <v>90931.329999999289</v>
      </c>
      <c r="E217" s="173">
        <f t="shared" si="21"/>
        <v>6408520.1899999576</v>
      </c>
      <c r="F217" s="173">
        <f t="shared" si="18"/>
        <v>6696759.5899999561</v>
      </c>
      <c r="G217" s="100">
        <f t="shared" si="19"/>
        <v>4120067.4099999145</v>
      </c>
      <c r="H217" s="100">
        <f t="shared" si="20"/>
        <v>2481670.8900000434</v>
      </c>
    </row>
    <row r="218" spans="1:8" hidden="1" outlineLevel="1" x14ac:dyDescent="0.25">
      <c r="A218" s="176">
        <v>41425</v>
      </c>
      <c r="B218" s="173">
        <f t="shared" si="22"/>
        <v>3913177.2999999141</v>
      </c>
      <c r="C218" s="173">
        <f t="shared" si="23"/>
        <v>2357053.320000045</v>
      </c>
      <c r="D218" s="173">
        <f t="shared" si="24"/>
        <v>90249.669999999285</v>
      </c>
      <c r="E218" s="173">
        <f t="shared" si="21"/>
        <v>6360480.2899999581</v>
      </c>
      <c r="F218" s="173">
        <f t="shared" si="18"/>
        <v>6648719.6899999566</v>
      </c>
      <c r="G218" s="100">
        <f t="shared" si="19"/>
        <v>4090511.679999914</v>
      </c>
      <c r="H218" s="100">
        <f t="shared" si="20"/>
        <v>2463868.3800000441</v>
      </c>
    </row>
    <row r="219" spans="1:8" hidden="1" outlineLevel="1" x14ac:dyDescent="0.25">
      <c r="A219" s="176">
        <v>41455</v>
      </c>
      <c r="B219" s="173">
        <f t="shared" si="22"/>
        <v>3883621.5699999142</v>
      </c>
      <c r="C219" s="173">
        <f t="shared" si="23"/>
        <v>2339250.8100000452</v>
      </c>
      <c r="D219" s="173">
        <f t="shared" si="24"/>
        <v>89568.009999999282</v>
      </c>
      <c r="E219" s="173">
        <f t="shared" si="21"/>
        <v>6312440.3899999587</v>
      </c>
      <c r="F219" s="173">
        <f t="shared" ref="F219:F282" si="25">(E207+E219+SUM(E208:E218)*2)/24</f>
        <v>6600679.7899999572</v>
      </c>
      <c r="G219" s="100">
        <f t="shared" ref="G219:G282" si="26">(B207+B219+SUM(B208:B218)*2)/24</f>
        <v>4060955.9499999136</v>
      </c>
      <c r="H219" s="100">
        <f t="shared" ref="H219:H282" si="27">(C207+C219+SUM(C208:C218)*2)/24</f>
        <v>2446065.8700000439</v>
      </c>
    </row>
    <row r="220" spans="1:8" hidden="1" outlineLevel="1" x14ac:dyDescent="0.25">
      <c r="A220" s="176">
        <v>41486</v>
      </c>
      <c r="B220" s="173">
        <f t="shared" si="22"/>
        <v>3854065.8399999142</v>
      </c>
      <c r="C220" s="173">
        <f t="shared" si="23"/>
        <v>2321448.3000000454</v>
      </c>
      <c r="D220" s="173">
        <f t="shared" si="24"/>
        <v>88886.349999999278</v>
      </c>
      <c r="E220" s="173">
        <f t="shared" si="21"/>
        <v>6264400.4899999592</v>
      </c>
      <c r="F220" s="173">
        <f t="shared" si="25"/>
        <v>6552639.8899999568</v>
      </c>
      <c r="G220" s="100">
        <f t="shared" si="26"/>
        <v>4031400.2199999136</v>
      </c>
      <c r="H220" s="100">
        <f t="shared" si="27"/>
        <v>2428263.3600000441</v>
      </c>
    </row>
    <row r="221" spans="1:8" hidden="1" outlineLevel="1" x14ac:dyDescent="0.25">
      <c r="A221" s="176">
        <v>41517</v>
      </c>
      <c r="B221" s="173">
        <f t="shared" si="22"/>
        <v>3824510.1099999142</v>
      </c>
      <c r="C221" s="173">
        <f t="shared" si="23"/>
        <v>2303645.7900000457</v>
      </c>
      <c r="D221" s="173">
        <f t="shared" si="24"/>
        <v>88204.689999999275</v>
      </c>
      <c r="E221" s="173">
        <f t="shared" si="21"/>
        <v>6216360.5899999589</v>
      </c>
      <c r="F221" s="173">
        <f t="shared" si="25"/>
        <v>6504599.9899999574</v>
      </c>
      <c r="G221" s="100">
        <f t="shared" si="26"/>
        <v>4001844.4899999131</v>
      </c>
      <c r="H221" s="100">
        <f t="shared" si="27"/>
        <v>2410460.8500000443</v>
      </c>
    </row>
    <row r="222" spans="1:8" hidden="1" outlineLevel="1" x14ac:dyDescent="0.25">
      <c r="A222" s="176">
        <v>41547</v>
      </c>
      <c r="B222" s="173">
        <f t="shared" si="22"/>
        <v>3794954.3799999142</v>
      </c>
      <c r="C222" s="173">
        <f t="shared" si="23"/>
        <v>2285843.2800000459</v>
      </c>
      <c r="D222" s="173">
        <f t="shared" si="24"/>
        <v>87523.029999999271</v>
      </c>
      <c r="E222" s="173">
        <f t="shared" si="21"/>
        <v>6168320.6899999594</v>
      </c>
      <c r="F222" s="173">
        <f t="shared" si="25"/>
        <v>6456560.0899999579</v>
      </c>
      <c r="G222" s="100">
        <f t="shared" si="26"/>
        <v>3972288.7599999146</v>
      </c>
      <c r="H222" s="100">
        <f t="shared" si="27"/>
        <v>2392658.340000045</v>
      </c>
    </row>
    <row r="223" spans="1:8" hidden="1" outlineLevel="1" x14ac:dyDescent="0.25">
      <c r="A223" s="176">
        <v>41578</v>
      </c>
      <c r="B223" s="173">
        <f t="shared" si="22"/>
        <v>3765398.6499999142</v>
      </c>
      <c r="C223" s="173">
        <f t="shared" si="23"/>
        <v>2268040.7700000461</v>
      </c>
      <c r="D223" s="173">
        <f t="shared" si="24"/>
        <v>86841.369999999268</v>
      </c>
      <c r="E223" s="173">
        <f t="shared" si="21"/>
        <v>6120280.78999996</v>
      </c>
      <c r="F223" s="173">
        <f t="shared" si="25"/>
        <v>6408520.1899999576</v>
      </c>
      <c r="G223" s="100">
        <f t="shared" si="26"/>
        <v>3942733.0299999141</v>
      </c>
      <c r="H223" s="100">
        <f t="shared" si="27"/>
        <v>2374855.8300000448</v>
      </c>
    </row>
    <row r="224" spans="1:8" hidden="1" outlineLevel="1" x14ac:dyDescent="0.25">
      <c r="A224" s="176">
        <v>41608</v>
      </c>
      <c r="B224" s="173">
        <f t="shared" si="22"/>
        <v>3735842.9199999142</v>
      </c>
      <c r="C224" s="173">
        <f t="shared" si="23"/>
        <v>2250238.2600000463</v>
      </c>
      <c r="D224" s="173">
        <f t="shared" si="24"/>
        <v>86159.709999999264</v>
      </c>
      <c r="E224" s="173">
        <f t="shared" si="21"/>
        <v>6072240.8899999596</v>
      </c>
      <c r="F224" s="173">
        <f t="shared" si="25"/>
        <v>6360480.2899999581</v>
      </c>
      <c r="G224" s="100">
        <f t="shared" si="26"/>
        <v>3913177.2999999146</v>
      </c>
      <c r="H224" s="100">
        <f t="shared" si="27"/>
        <v>2357053.320000045</v>
      </c>
    </row>
    <row r="225" spans="1:8" hidden="1" outlineLevel="1" x14ac:dyDescent="0.25">
      <c r="A225" s="176">
        <v>41639</v>
      </c>
      <c r="B225" s="173">
        <f t="shared" si="22"/>
        <v>3706287.1899999143</v>
      </c>
      <c r="C225" s="173">
        <f t="shared" si="23"/>
        <v>2232435.7500000466</v>
      </c>
      <c r="D225" s="173">
        <f t="shared" si="24"/>
        <v>85478.049999999261</v>
      </c>
      <c r="E225" s="173">
        <f t="shared" si="21"/>
        <v>6024200.9899999592</v>
      </c>
      <c r="F225" s="173">
        <f t="shared" si="25"/>
        <v>6312440.3899999587</v>
      </c>
      <c r="G225" s="100">
        <f t="shared" si="26"/>
        <v>3883621.5699999142</v>
      </c>
      <c r="H225" s="100">
        <f t="shared" si="27"/>
        <v>2339250.8100000452</v>
      </c>
    </row>
    <row r="226" spans="1:8" collapsed="1" x14ac:dyDescent="0.25">
      <c r="A226" s="176">
        <v>41670</v>
      </c>
      <c r="B226" s="173">
        <f t="shared" si="22"/>
        <v>3676731.4599999143</v>
      </c>
      <c r="C226" s="173">
        <f t="shared" si="23"/>
        <v>2214633.2400000468</v>
      </c>
      <c r="D226" s="173">
        <f t="shared" si="24"/>
        <v>84796.389999999257</v>
      </c>
      <c r="E226" s="173">
        <f t="shared" si="21"/>
        <v>5976161.0899999607</v>
      </c>
      <c r="F226" s="173">
        <f t="shared" si="25"/>
        <v>6264400.4899999602</v>
      </c>
      <c r="G226" s="100">
        <f t="shared" si="26"/>
        <v>3854065.8399999142</v>
      </c>
      <c r="H226" s="100">
        <f t="shared" si="27"/>
        <v>2321448.3000000459</v>
      </c>
    </row>
    <row r="227" spans="1:8" x14ac:dyDescent="0.25">
      <c r="A227" s="176">
        <v>41698</v>
      </c>
      <c r="B227" s="173">
        <f t="shared" si="22"/>
        <v>3647175.7299999143</v>
      </c>
      <c r="C227" s="173">
        <f t="shared" si="23"/>
        <v>2196830.730000047</v>
      </c>
      <c r="D227" s="173">
        <f t="shared" si="24"/>
        <v>84114.729999999254</v>
      </c>
      <c r="E227" s="173">
        <f t="shared" si="21"/>
        <v>5928121.1899999613</v>
      </c>
      <c r="F227" s="173">
        <f t="shared" si="25"/>
        <v>6216360.5899999598</v>
      </c>
      <c r="G227" s="100">
        <f t="shared" si="26"/>
        <v>3824510.1099999142</v>
      </c>
      <c r="H227" s="100">
        <f t="shared" si="27"/>
        <v>2303645.7900000457</v>
      </c>
    </row>
    <row r="228" spans="1:8" x14ac:dyDescent="0.25">
      <c r="A228" s="176">
        <v>41729</v>
      </c>
      <c r="B228" s="173">
        <f t="shared" si="22"/>
        <v>3617619.9999999143</v>
      </c>
      <c r="C228" s="173">
        <f t="shared" si="23"/>
        <v>2179028.2200000472</v>
      </c>
      <c r="D228" s="173">
        <f t="shared" si="24"/>
        <v>83433.06999999925</v>
      </c>
      <c r="E228" s="173">
        <f t="shared" si="21"/>
        <v>5880081.2899999609</v>
      </c>
      <c r="F228" s="173">
        <f t="shared" si="25"/>
        <v>6168320.6899999594</v>
      </c>
      <c r="G228" s="100">
        <f t="shared" si="26"/>
        <v>3794954.3799999137</v>
      </c>
      <c r="H228" s="100">
        <f t="shared" si="27"/>
        <v>2285843.2800000459</v>
      </c>
    </row>
    <row r="229" spans="1:8" x14ac:dyDescent="0.25">
      <c r="A229" s="176">
        <v>41759</v>
      </c>
      <c r="B229" s="173">
        <f t="shared" si="22"/>
        <v>3588064.2699999143</v>
      </c>
      <c r="C229" s="173">
        <f t="shared" si="23"/>
        <v>2161225.7100000475</v>
      </c>
      <c r="D229" s="173">
        <f t="shared" si="24"/>
        <v>82751.409999999247</v>
      </c>
      <c r="E229" s="173">
        <f t="shared" si="21"/>
        <v>5832041.3899999605</v>
      </c>
      <c r="F229" s="173">
        <f t="shared" si="25"/>
        <v>6120280.7899999591</v>
      </c>
      <c r="G229" s="100">
        <f t="shared" si="26"/>
        <v>3765398.6499999142</v>
      </c>
      <c r="H229" s="100">
        <f t="shared" si="27"/>
        <v>2268040.7700000461</v>
      </c>
    </row>
    <row r="230" spans="1:8" x14ac:dyDescent="0.25">
      <c r="A230" s="176">
        <v>41790</v>
      </c>
      <c r="B230" s="173">
        <f t="shared" si="22"/>
        <v>3558508.5399999144</v>
      </c>
      <c r="C230" s="173">
        <f t="shared" si="23"/>
        <v>2143423.2000000477</v>
      </c>
      <c r="D230" s="173">
        <f t="shared" si="24"/>
        <v>82069.749999999243</v>
      </c>
      <c r="E230" s="173">
        <f t="shared" si="21"/>
        <v>5784001.4899999611</v>
      </c>
      <c r="F230" s="173">
        <f t="shared" si="25"/>
        <v>6072240.8899999596</v>
      </c>
      <c r="G230" s="100">
        <f t="shared" si="26"/>
        <v>3735842.9199999142</v>
      </c>
      <c r="H230" s="100">
        <f t="shared" si="27"/>
        <v>2250238.2600000468</v>
      </c>
    </row>
    <row r="231" spans="1:8" x14ac:dyDescent="0.25">
      <c r="A231" s="176">
        <v>41820</v>
      </c>
      <c r="B231" s="173">
        <f t="shared" si="22"/>
        <v>3528952.8099999144</v>
      </c>
      <c r="C231" s="173">
        <f t="shared" si="23"/>
        <v>2125620.6900000479</v>
      </c>
      <c r="D231" s="173">
        <f t="shared" si="24"/>
        <v>81388.08999999924</v>
      </c>
      <c r="E231" s="173">
        <f t="shared" si="21"/>
        <v>5735961.5899999617</v>
      </c>
      <c r="F231" s="173">
        <f t="shared" si="25"/>
        <v>6024200.9899999611</v>
      </c>
      <c r="G231" s="100">
        <f t="shared" si="26"/>
        <v>3706287.1899999143</v>
      </c>
      <c r="H231" s="100">
        <f t="shared" si="27"/>
        <v>2232435.7500000466</v>
      </c>
    </row>
    <row r="232" spans="1:8" x14ac:dyDescent="0.25">
      <c r="A232" s="176">
        <v>41851</v>
      </c>
      <c r="B232" s="173">
        <f t="shared" si="22"/>
        <v>3499397.0799999144</v>
      </c>
      <c r="C232" s="173">
        <f t="shared" si="23"/>
        <v>2107818.1800000481</v>
      </c>
      <c r="D232" s="173">
        <f t="shared" si="24"/>
        <v>80706.429999999236</v>
      </c>
      <c r="E232" s="173">
        <f t="shared" si="21"/>
        <v>5687921.6899999622</v>
      </c>
      <c r="F232" s="173">
        <f t="shared" si="25"/>
        <v>5976161.0899999598</v>
      </c>
      <c r="G232" s="100">
        <f t="shared" si="26"/>
        <v>3676731.4599999138</v>
      </c>
      <c r="H232" s="100">
        <f t="shared" si="27"/>
        <v>2214633.2400000468</v>
      </c>
    </row>
    <row r="233" spans="1:8" x14ac:dyDescent="0.25">
      <c r="A233" s="176">
        <v>41882</v>
      </c>
      <c r="B233" s="173">
        <f t="shared" si="22"/>
        <v>3469841.3499999144</v>
      </c>
      <c r="C233" s="173">
        <f t="shared" si="23"/>
        <v>2090015.6700000481</v>
      </c>
      <c r="D233" s="173">
        <f t="shared" si="24"/>
        <v>80024.769999999233</v>
      </c>
      <c r="E233" s="173">
        <f t="shared" si="21"/>
        <v>5639881.7899999619</v>
      </c>
      <c r="F233" s="173">
        <f t="shared" si="25"/>
        <v>5928121.1899999604</v>
      </c>
      <c r="G233" s="100">
        <f t="shared" si="26"/>
        <v>3647175.7299999143</v>
      </c>
      <c r="H233" s="100">
        <f t="shared" si="27"/>
        <v>2196830.730000047</v>
      </c>
    </row>
    <row r="234" spans="1:8" x14ac:dyDescent="0.25">
      <c r="A234" s="176">
        <v>41912</v>
      </c>
      <c r="B234" s="173">
        <f t="shared" si="22"/>
        <v>3440285.6199999144</v>
      </c>
      <c r="C234" s="173">
        <f t="shared" si="23"/>
        <v>2072213.1600000481</v>
      </c>
      <c r="D234" s="173">
        <f t="shared" si="24"/>
        <v>79343.109999999229</v>
      </c>
      <c r="E234" s="173">
        <f t="shared" si="21"/>
        <v>5591841.8899999615</v>
      </c>
      <c r="F234" s="173">
        <f t="shared" si="25"/>
        <v>5880081.2899999609</v>
      </c>
      <c r="G234" s="100">
        <f t="shared" si="26"/>
        <v>3617619.9999999143</v>
      </c>
      <c r="H234" s="100">
        <f t="shared" si="27"/>
        <v>2179028.2200000472</v>
      </c>
    </row>
    <row r="235" spans="1:8" x14ac:dyDescent="0.25">
      <c r="A235" s="176">
        <v>41943</v>
      </c>
      <c r="B235" s="173">
        <f t="shared" si="22"/>
        <v>3410729.8899999144</v>
      </c>
      <c r="C235" s="173">
        <f t="shared" si="23"/>
        <v>2054410.6500000481</v>
      </c>
      <c r="D235" s="173">
        <f t="shared" si="24"/>
        <v>78661.449999999226</v>
      </c>
      <c r="E235" s="173">
        <f t="shared" si="21"/>
        <v>5543801.989999962</v>
      </c>
      <c r="F235" s="173">
        <f t="shared" si="25"/>
        <v>5832041.3899999605</v>
      </c>
      <c r="G235" s="100">
        <f t="shared" si="26"/>
        <v>3588064.2699999139</v>
      </c>
      <c r="H235" s="100">
        <f t="shared" si="27"/>
        <v>2161225.710000047</v>
      </c>
    </row>
    <row r="236" spans="1:8" x14ac:dyDescent="0.25">
      <c r="A236" s="176">
        <v>41973</v>
      </c>
      <c r="B236" s="173">
        <f t="shared" si="22"/>
        <v>3381174.1599999145</v>
      </c>
      <c r="C236" s="173">
        <f t="shared" si="23"/>
        <v>2036608.1400000481</v>
      </c>
      <c r="D236" s="173">
        <f t="shared" si="24"/>
        <v>77979.789999999222</v>
      </c>
      <c r="E236" s="173">
        <f t="shared" si="21"/>
        <v>5495762.0899999617</v>
      </c>
      <c r="F236" s="173">
        <f t="shared" si="25"/>
        <v>5784001.4899999611</v>
      </c>
      <c r="G236" s="100">
        <f t="shared" si="26"/>
        <v>3558508.5399999139</v>
      </c>
      <c r="H236" s="100">
        <f t="shared" si="27"/>
        <v>2143423.2000000472</v>
      </c>
    </row>
    <row r="237" spans="1:8" x14ac:dyDescent="0.25">
      <c r="A237" s="176">
        <v>42004</v>
      </c>
      <c r="B237" s="173">
        <f t="shared" si="22"/>
        <v>3351618.4299999145</v>
      </c>
      <c r="C237" s="173">
        <f t="shared" si="23"/>
        <v>2018805.6300000481</v>
      </c>
      <c r="D237" s="173">
        <f t="shared" si="24"/>
        <v>77298.129999999219</v>
      </c>
      <c r="E237" s="173">
        <f t="shared" si="21"/>
        <v>5447722.1899999613</v>
      </c>
      <c r="F237" s="173">
        <f t="shared" si="25"/>
        <v>5735961.5899999617</v>
      </c>
      <c r="G237" s="100">
        <f t="shared" si="26"/>
        <v>3528952.8099999144</v>
      </c>
      <c r="H237" s="100">
        <f t="shared" si="27"/>
        <v>2125620.6900000474</v>
      </c>
    </row>
    <row r="238" spans="1:8" x14ac:dyDescent="0.25">
      <c r="A238" s="176">
        <v>42035</v>
      </c>
      <c r="B238" s="173">
        <f t="shared" si="22"/>
        <v>3322062.6999999145</v>
      </c>
      <c r="C238" s="173">
        <f t="shared" si="23"/>
        <v>2001003.1200000481</v>
      </c>
      <c r="D238" s="173">
        <f t="shared" si="24"/>
        <v>76616.469999999215</v>
      </c>
      <c r="E238" s="173">
        <f t="shared" si="21"/>
        <v>5399682.2899999619</v>
      </c>
      <c r="F238" s="173">
        <f t="shared" si="25"/>
        <v>5687921.6899999613</v>
      </c>
      <c r="G238" s="100">
        <f t="shared" si="26"/>
        <v>3499397.0799999149</v>
      </c>
      <c r="H238" s="100">
        <f t="shared" si="27"/>
        <v>2107818.1800000477</v>
      </c>
    </row>
    <row r="239" spans="1:8" x14ac:dyDescent="0.25">
      <c r="A239" s="176">
        <v>42063</v>
      </c>
      <c r="B239" s="173">
        <f t="shared" si="22"/>
        <v>3292506.9699999145</v>
      </c>
      <c r="C239" s="173">
        <f t="shared" si="23"/>
        <v>1983200.6100000481</v>
      </c>
      <c r="D239" s="173">
        <f t="shared" si="24"/>
        <v>75934.809999999212</v>
      </c>
      <c r="E239" s="173">
        <f t="shared" si="21"/>
        <v>5351642.3899999624</v>
      </c>
      <c r="F239" s="173">
        <f t="shared" si="25"/>
        <v>5639881.7899999619</v>
      </c>
      <c r="G239" s="100">
        <f t="shared" si="26"/>
        <v>3469841.3499999144</v>
      </c>
      <c r="H239" s="100">
        <f t="shared" si="27"/>
        <v>2090015.6700000481</v>
      </c>
    </row>
    <row r="240" spans="1:8" x14ac:dyDescent="0.25">
      <c r="A240" s="176">
        <v>42094</v>
      </c>
      <c r="B240" s="173">
        <f t="shared" si="22"/>
        <v>3262951.2399999145</v>
      </c>
      <c r="C240" s="173">
        <f t="shared" si="23"/>
        <v>1965398.1000000481</v>
      </c>
      <c r="D240" s="173">
        <f t="shared" si="24"/>
        <v>75253.149999999208</v>
      </c>
      <c r="E240" s="173">
        <f t="shared" si="21"/>
        <v>5303602.489999962</v>
      </c>
      <c r="F240" s="173">
        <f t="shared" si="25"/>
        <v>5591841.8899999624</v>
      </c>
      <c r="G240" s="100">
        <f t="shared" si="26"/>
        <v>3440285.6199999149</v>
      </c>
      <c r="H240" s="100">
        <f t="shared" si="27"/>
        <v>2072213.1600000483</v>
      </c>
    </row>
    <row r="241" spans="1:8" x14ac:dyDescent="0.25">
      <c r="A241" s="176">
        <v>42124</v>
      </c>
      <c r="B241" s="173">
        <f t="shared" si="22"/>
        <v>3233395.5099999146</v>
      </c>
      <c r="C241" s="173">
        <f t="shared" si="23"/>
        <v>1947595.590000048</v>
      </c>
      <c r="D241" s="173">
        <f t="shared" si="24"/>
        <v>74571.489999999205</v>
      </c>
      <c r="E241" s="173">
        <f t="shared" si="21"/>
        <v>5255562.5899999617</v>
      </c>
      <c r="F241" s="173">
        <f t="shared" si="25"/>
        <v>5543801.989999962</v>
      </c>
      <c r="G241" s="100">
        <f t="shared" si="26"/>
        <v>3410729.8899999135</v>
      </c>
      <c r="H241" s="100">
        <f t="shared" si="27"/>
        <v>2054410.6500000479</v>
      </c>
    </row>
    <row r="242" spans="1:8" x14ac:dyDescent="0.25">
      <c r="A242" s="176">
        <v>42155</v>
      </c>
      <c r="B242" s="173">
        <f t="shared" si="22"/>
        <v>3203839.7799999146</v>
      </c>
      <c r="C242" s="173">
        <f t="shared" si="23"/>
        <v>1929793.080000048</v>
      </c>
      <c r="D242" s="173">
        <f t="shared" si="24"/>
        <v>73889.829999999201</v>
      </c>
      <c r="E242" s="173">
        <f t="shared" si="21"/>
        <v>5207522.6899999613</v>
      </c>
      <c r="F242" s="173">
        <f t="shared" si="25"/>
        <v>5495762.0899999617</v>
      </c>
      <c r="G242" s="100">
        <f t="shared" si="26"/>
        <v>3381174.1599999145</v>
      </c>
      <c r="H242" s="100">
        <f t="shared" si="27"/>
        <v>2036608.1400000481</v>
      </c>
    </row>
    <row r="243" spans="1:8" x14ac:dyDescent="0.25">
      <c r="A243" s="176">
        <v>42185</v>
      </c>
      <c r="B243" s="173">
        <f t="shared" si="22"/>
        <v>3174284.0499999146</v>
      </c>
      <c r="C243" s="173">
        <f t="shared" si="23"/>
        <v>1911990.570000048</v>
      </c>
      <c r="D243" s="173">
        <f t="shared" si="24"/>
        <v>73208.169999999198</v>
      </c>
      <c r="E243" s="173">
        <f t="shared" si="21"/>
        <v>5159482.7899999619</v>
      </c>
      <c r="F243" s="173">
        <f t="shared" si="25"/>
        <v>5447722.1899999613</v>
      </c>
      <c r="G243" s="100">
        <f t="shared" si="26"/>
        <v>3351618.4299999145</v>
      </c>
      <c r="H243" s="100">
        <f t="shared" si="27"/>
        <v>2018805.6300000476</v>
      </c>
    </row>
    <row r="244" spans="1:8" x14ac:dyDescent="0.25">
      <c r="A244" s="176">
        <v>42216</v>
      </c>
      <c r="B244" s="173">
        <f t="shared" si="22"/>
        <v>3144728.3199999146</v>
      </c>
      <c r="C244" s="173">
        <f t="shared" si="23"/>
        <v>1894188.060000048</v>
      </c>
      <c r="D244" s="173">
        <f t="shared" si="24"/>
        <v>72526.509999999194</v>
      </c>
      <c r="E244" s="173">
        <f t="shared" si="21"/>
        <v>5111442.8899999615</v>
      </c>
      <c r="F244" s="173">
        <f t="shared" si="25"/>
        <v>5399682.2899999619</v>
      </c>
      <c r="G244" s="100">
        <f t="shared" si="26"/>
        <v>3322062.699999914</v>
      </c>
      <c r="H244" s="100">
        <f t="shared" si="27"/>
        <v>2001003.1200000478</v>
      </c>
    </row>
    <row r="245" spans="1:8" x14ac:dyDescent="0.25">
      <c r="A245" s="176">
        <v>42247</v>
      </c>
      <c r="B245" s="173">
        <f t="shared" si="22"/>
        <v>3115172.5899999146</v>
      </c>
      <c r="C245" s="173">
        <f t="shared" si="23"/>
        <v>1876385.550000048</v>
      </c>
      <c r="D245" s="173">
        <f t="shared" si="24"/>
        <v>71844.849999999191</v>
      </c>
      <c r="E245" s="173">
        <f t="shared" si="21"/>
        <v>5063402.989999962</v>
      </c>
      <c r="F245" s="173">
        <f t="shared" si="25"/>
        <v>5351642.3899999624</v>
      </c>
      <c r="G245" s="100">
        <f t="shared" si="26"/>
        <v>3292506.969999915</v>
      </c>
      <c r="H245" s="100">
        <f t="shared" si="27"/>
        <v>1983200.6100000481</v>
      </c>
    </row>
    <row r="246" spans="1:8" x14ac:dyDescent="0.25">
      <c r="A246" s="176">
        <v>42277</v>
      </c>
      <c r="B246" s="173">
        <f t="shared" si="22"/>
        <v>3085616.8599999147</v>
      </c>
      <c r="C246" s="173">
        <f t="shared" si="23"/>
        <v>1858583.040000048</v>
      </c>
      <c r="D246" s="173">
        <f t="shared" si="24"/>
        <v>71163.189999999187</v>
      </c>
      <c r="E246" s="173">
        <f t="shared" si="21"/>
        <v>5015363.0899999626</v>
      </c>
      <c r="F246" s="173">
        <f t="shared" si="25"/>
        <v>5303602.489999962</v>
      </c>
      <c r="G246" s="100">
        <f t="shared" si="26"/>
        <v>3262951.2399999145</v>
      </c>
      <c r="H246" s="100">
        <f t="shared" si="27"/>
        <v>1965398.1000000481</v>
      </c>
    </row>
    <row r="247" spans="1:8" x14ac:dyDescent="0.25">
      <c r="A247" s="176">
        <v>42308</v>
      </c>
      <c r="B247" s="173">
        <f t="shared" si="22"/>
        <v>3056061.1299999147</v>
      </c>
      <c r="C247" s="173">
        <f t="shared" si="23"/>
        <v>1840780.530000048</v>
      </c>
      <c r="D247" s="173">
        <f t="shared" si="24"/>
        <v>70481.529999999184</v>
      </c>
      <c r="E247" s="173">
        <f t="shared" si="21"/>
        <v>4967323.1899999622</v>
      </c>
      <c r="F247" s="173">
        <f t="shared" si="25"/>
        <v>5255562.5899999626</v>
      </c>
      <c r="G247" s="100">
        <f t="shared" si="26"/>
        <v>3233395.5099999146</v>
      </c>
      <c r="H247" s="100">
        <f t="shared" si="27"/>
        <v>1947595.5900000483</v>
      </c>
    </row>
    <row r="248" spans="1:8" x14ac:dyDescent="0.25">
      <c r="A248" s="176">
        <v>42338</v>
      </c>
      <c r="B248" s="173">
        <f t="shared" si="22"/>
        <v>3026505.3999999147</v>
      </c>
      <c r="C248" s="173">
        <f t="shared" si="23"/>
        <v>1822978.020000048</v>
      </c>
      <c r="D248" s="173">
        <f t="shared" si="24"/>
        <v>69799.86999999918</v>
      </c>
      <c r="E248" s="173">
        <f t="shared" si="21"/>
        <v>4919283.2899999619</v>
      </c>
      <c r="F248" s="173">
        <f t="shared" si="25"/>
        <v>5207522.6899999613</v>
      </c>
      <c r="G248" s="100">
        <f t="shared" si="26"/>
        <v>3203839.7799999141</v>
      </c>
      <c r="H248" s="100">
        <f t="shared" si="27"/>
        <v>1929793.0800000483</v>
      </c>
    </row>
    <row r="249" spans="1:8" x14ac:dyDescent="0.25">
      <c r="A249" s="176">
        <v>42369</v>
      </c>
      <c r="B249" s="173">
        <f t="shared" si="22"/>
        <v>2996949.6699999147</v>
      </c>
      <c r="C249" s="173">
        <f t="shared" si="23"/>
        <v>1805175.510000048</v>
      </c>
      <c r="D249" s="173">
        <f t="shared" si="24"/>
        <v>69118.209999999177</v>
      </c>
      <c r="E249" s="173">
        <f t="shared" si="21"/>
        <v>4871243.3899999615</v>
      </c>
      <c r="F249" s="173">
        <f t="shared" si="25"/>
        <v>5159482.7899999628</v>
      </c>
      <c r="G249" s="100">
        <f t="shared" si="26"/>
        <v>3174284.0499999146</v>
      </c>
      <c r="H249" s="100">
        <f t="shared" si="27"/>
        <v>1911990.5700000485</v>
      </c>
    </row>
    <row r="250" spans="1:8" x14ac:dyDescent="0.25">
      <c r="A250" s="176">
        <v>42400</v>
      </c>
      <c r="B250" s="173">
        <f t="shared" si="22"/>
        <v>2967393.9399999147</v>
      </c>
      <c r="C250" s="173">
        <f t="shared" si="23"/>
        <v>1787373.000000048</v>
      </c>
      <c r="D250" s="173">
        <f t="shared" si="24"/>
        <v>68436.549999999173</v>
      </c>
      <c r="E250" s="173">
        <f t="shared" si="21"/>
        <v>4823203.4899999611</v>
      </c>
      <c r="F250" s="173">
        <f t="shared" si="25"/>
        <v>5111442.8899999624</v>
      </c>
      <c r="G250" s="100">
        <f t="shared" si="26"/>
        <v>3144728.3199999146</v>
      </c>
      <c r="H250" s="100">
        <f t="shared" si="27"/>
        <v>1894188.0600000478</v>
      </c>
    </row>
    <row r="251" spans="1:8" x14ac:dyDescent="0.25">
      <c r="A251" s="176">
        <v>42428</v>
      </c>
      <c r="B251" s="173">
        <f t="shared" si="22"/>
        <v>2937838.2099999147</v>
      </c>
      <c r="C251" s="173">
        <f t="shared" si="23"/>
        <v>1769570.490000048</v>
      </c>
      <c r="D251" s="173">
        <f t="shared" si="24"/>
        <v>67754.88999999917</v>
      </c>
      <c r="E251" s="173">
        <f t="shared" si="21"/>
        <v>4775163.5899999617</v>
      </c>
      <c r="F251" s="173">
        <f t="shared" si="25"/>
        <v>5063402.989999962</v>
      </c>
      <c r="G251" s="100">
        <f t="shared" si="26"/>
        <v>3115172.5899999142</v>
      </c>
      <c r="H251" s="100">
        <f t="shared" si="27"/>
        <v>1876385.550000048</v>
      </c>
    </row>
    <row r="252" spans="1:8" x14ac:dyDescent="0.25">
      <c r="A252" s="176">
        <v>42460</v>
      </c>
      <c r="B252" s="173">
        <f t="shared" si="22"/>
        <v>2908282.4799999148</v>
      </c>
      <c r="C252" s="173">
        <f t="shared" si="23"/>
        <v>1751767.9800000479</v>
      </c>
      <c r="D252" s="173">
        <f t="shared" si="24"/>
        <v>67073.229999999166</v>
      </c>
      <c r="E252" s="173">
        <f t="shared" si="21"/>
        <v>4727123.6899999622</v>
      </c>
      <c r="F252" s="173">
        <f t="shared" si="25"/>
        <v>5015363.0899999617</v>
      </c>
      <c r="G252" s="100">
        <f t="shared" si="26"/>
        <v>3085616.8599999151</v>
      </c>
      <c r="H252" s="100">
        <f t="shared" si="27"/>
        <v>1858583.0400000478</v>
      </c>
    </row>
    <row r="253" spans="1:8" x14ac:dyDescent="0.25">
      <c r="A253" s="176">
        <v>42490</v>
      </c>
      <c r="B253" s="173">
        <f t="shared" si="22"/>
        <v>2878726.7499999148</v>
      </c>
      <c r="C253" s="173">
        <f t="shared" si="23"/>
        <v>1733965.4700000479</v>
      </c>
      <c r="D253" s="173">
        <f t="shared" si="24"/>
        <v>66391.569999999163</v>
      </c>
      <c r="E253" s="173">
        <f t="shared" si="21"/>
        <v>4679083.7899999619</v>
      </c>
      <c r="F253" s="173">
        <f t="shared" si="25"/>
        <v>4967323.1899999613</v>
      </c>
      <c r="G253" s="100">
        <f t="shared" si="26"/>
        <v>3056061.1299999147</v>
      </c>
      <c r="H253" s="100">
        <f t="shared" si="27"/>
        <v>1840780.5300000485</v>
      </c>
    </row>
    <row r="254" spans="1:8" x14ac:dyDescent="0.25">
      <c r="A254" s="176">
        <v>42521</v>
      </c>
      <c r="B254" s="173">
        <f t="shared" si="22"/>
        <v>2849171.0199999148</v>
      </c>
      <c r="C254" s="173">
        <f t="shared" si="23"/>
        <v>1716162.9600000479</v>
      </c>
      <c r="D254" s="173">
        <f t="shared" si="24"/>
        <v>65709.909999999159</v>
      </c>
      <c r="E254" s="173">
        <f t="shared" si="21"/>
        <v>4631043.8899999624</v>
      </c>
      <c r="F254" s="173">
        <f t="shared" si="25"/>
        <v>4919283.2899999609</v>
      </c>
      <c r="G254" s="100">
        <f t="shared" si="26"/>
        <v>3026505.3999999147</v>
      </c>
      <c r="H254" s="100">
        <f t="shared" si="27"/>
        <v>1822978.020000048</v>
      </c>
    </row>
    <row r="255" spans="1:8" x14ac:dyDescent="0.25">
      <c r="A255" s="176">
        <v>42551</v>
      </c>
      <c r="B255" s="173">
        <f t="shared" si="22"/>
        <v>2819615.2899999148</v>
      </c>
      <c r="C255" s="173">
        <f t="shared" si="23"/>
        <v>1698360.4500000479</v>
      </c>
      <c r="D255" s="173">
        <f t="shared" si="24"/>
        <v>65028.249999999156</v>
      </c>
      <c r="E255" s="173">
        <f t="shared" si="21"/>
        <v>4583003.989999962</v>
      </c>
      <c r="F255" s="173">
        <f t="shared" si="25"/>
        <v>4871243.3899999615</v>
      </c>
      <c r="G255" s="100">
        <f t="shared" si="26"/>
        <v>2996949.6699999147</v>
      </c>
      <c r="H255" s="100">
        <f t="shared" si="27"/>
        <v>1805175.510000048</v>
      </c>
    </row>
    <row r="256" spans="1:8" x14ac:dyDescent="0.25">
      <c r="A256" s="176">
        <v>42582</v>
      </c>
      <c r="B256" s="173">
        <f t="shared" si="22"/>
        <v>2790059.5599999148</v>
      </c>
      <c r="C256" s="173">
        <f t="shared" si="23"/>
        <v>1680557.9400000479</v>
      </c>
      <c r="D256" s="173">
        <f t="shared" si="24"/>
        <v>64346.589999999152</v>
      </c>
      <c r="E256" s="173">
        <f t="shared" si="21"/>
        <v>4534964.0899999617</v>
      </c>
      <c r="F256" s="173">
        <f t="shared" si="25"/>
        <v>4823203.489999962</v>
      </c>
      <c r="G256" s="100">
        <f t="shared" si="26"/>
        <v>2967393.9399999143</v>
      </c>
      <c r="H256" s="100">
        <f t="shared" si="27"/>
        <v>1787373.0000000482</v>
      </c>
    </row>
    <row r="257" spans="1:8" x14ac:dyDescent="0.25">
      <c r="A257" s="176">
        <v>42613</v>
      </c>
      <c r="B257" s="173">
        <f t="shared" si="22"/>
        <v>2760503.8299999149</v>
      </c>
      <c r="C257" s="173">
        <f t="shared" si="23"/>
        <v>1662755.4300000479</v>
      </c>
      <c r="D257" s="173">
        <f t="shared" si="24"/>
        <v>63664.929999999149</v>
      </c>
      <c r="E257" s="173">
        <f t="shared" si="21"/>
        <v>4486924.1899999613</v>
      </c>
      <c r="F257" s="173">
        <f t="shared" si="25"/>
        <v>4775163.5899999617</v>
      </c>
      <c r="G257" s="100">
        <f t="shared" si="26"/>
        <v>2937838.2099999138</v>
      </c>
      <c r="H257" s="100">
        <f t="shared" si="27"/>
        <v>1769570.490000048</v>
      </c>
    </row>
    <row r="258" spans="1:8" x14ac:dyDescent="0.25">
      <c r="A258" s="176">
        <v>42643</v>
      </c>
      <c r="B258" s="173">
        <f t="shared" si="22"/>
        <v>2730948.0999999149</v>
      </c>
      <c r="C258" s="173">
        <f t="shared" si="23"/>
        <v>1644952.9200000479</v>
      </c>
      <c r="D258" s="173">
        <f t="shared" si="24"/>
        <v>62983.269999999146</v>
      </c>
      <c r="E258" s="173">
        <f t="shared" si="21"/>
        <v>4438884.2899999619</v>
      </c>
      <c r="F258" s="173">
        <f t="shared" si="25"/>
        <v>4727123.6899999613</v>
      </c>
      <c r="G258" s="100">
        <f t="shared" si="26"/>
        <v>2908282.4799999148</v>
      </c>
      <c r="H258" s="100">
        <f t="shared" si="27"/>
        <v>1751767.9800000479</v>
      </c>
    </row>
    <row r="259" spans="1:8" x14ac:dyDescent="0.25">
      <c r="A259" s="176">
        <v>42674</v>
      </c>
      <c r="B259" s="173">
        <f t="shared" si="22"/>
        <v>2701392.3699999149</v>
      </c>
      <c r="C259" s="173">
        <f t="shared" si="23"/>
        <v>1627150.4100000479</v>
      </c>
      <c r="D259" s="173">
        <f t="shared" si="24"/>
        <v>62301.609999999142</v>
      </c>
      <c r="E259" s="173">
        <f t="shared" si="21"/>
        <v>4390844.3899999624</v>
      </c>
      <c r="F259" s="173">
        <f t="shared" si="25"/>
        <v>4679083.7899999619</v>
      </c>
      <c r="G259" s="100">
        <f t="shared" si="26"/>
        <v>2878726.7499999148</v>
      </c>
      <c r="H259" s="100">
        <f t="shared" si="27"/>
        <v>1733965.4700000475</v>
      </c>
    </row>
    <row r="260" spans="1:8" x14ac:dyDescent="0.25">
      <c r="A260" s="176">
        <v>42704</v>
      </c>
      <c r="B260" s="173">
        <f t="shared" si="22"/>
        <v>2671836.6399999149</v>
      </c>
      <c r="C260" s="173">
        <f t="shared" si="23"/>
        <v>1609347.9000000479</v>
      </c>
      <c r="D260" s="173">
        <f t="shared" si="24"/>
        <v>61619.949999999139</v>
      </c>
      <c r="E260" s="173">
        <f t="shared" si="21"/>
        <v>4342804.489999962</v>
      </c>
      <c r="F260" s="173">
        <f t="shared" si="25"/>
        <v>4631043.8899999624</v>
      </c>
      <c r="G260" s="100">
        <f t="shared" si="26"/>
        <v>2849171.0199999153</v>
      </c>
      <c r="H260" s="100">
        <f t="shared" si="27"/>
        <v>1716162.9600000482</v>
      </c>
    </row>
    <row r="261" spans="1:8" x14ac:dyDescent="0.25">
      <c r="A261" s="176">
        <v>42735</v>
      </c>
      <c r="B261" s="173">
        <f t="shared" si="22"/>
        <v>2642280.9099999149</v>
      </c>
      <c r="C261" s="173">
        <f t="shared" si="23"/>
        <v>1591545.3900000479</v>
      </c>
      <c r="D261" s="173">
        <f t="shared" si="24"/>
        <v>60938.289999999135</v>
      </c>
      <c r="E261" s="173">
        <f t="shared" si="21"/>
        <v>4294764.5899999617</v>
      </c>
      <c r="F261" s="173">
        <f t="shared" si="25"/>
        <v>4583003.989999962</v>
      </c>
      <c r="G261" s="100">
        <f t="shared" si="26"/>
        <v>2819615.2899999153</v>
      </c>
      <c r="H261" s="100">
        <f t="shared" si="27"/>
        <v>1698360.4500000479</v>
      </c>
    </row>
    <row r="262" spans="1:8" x14ac:dyDescent="0.25">
      <c r="A262" s="176">
        <v>42766</v>
      </c>
      <c r="B262" s="173">
        <f t="shared" si="22"/>
        <v>2612725.179999915</v>
      </c>
      <c r="C262" s="173">
        <f t="shared" si="23"/>
        <v>1573742.8800000479</v>
      </c>
      <c r="D262" s="173">
        <f t="shared" si="24"/>
        <v>60256.629999999132</v>
      </c>
      <c r="E262" s="173">
        <f t="shared" si="21"/>
        <v>4246724.6899999622</v>
      </c>
      <c r="F262" s="173">
        <f t="shared" si="25"/>
        <v>4534964.0899999617</v>
      </c>
      <c r="G262" s="100">
        <f t="shared" si="26"/>
        <v>2790059.5599999148</v>
      </c>
      <c r="H262" s="100">
        <f t="shared" si="27"/>
        <v>1680557.9400000479</v>
      </c>
    </row>
    <row r="263" spans="1:8" x14ac:dyDescent="0.25">
      <c r="A263" s="176">
        <v>42794</v>
      </c>
      <c r="B263" s="173">
        <f t="shared" si="22"/>
        <v>2583169.449999915</v>
      </c>
      <c r="C263" s="173">
        <f t="shared" si="23"/>
        <v>1555940.3700000478</v>
      </c>
      <c r="D263" s="173">
        <f t="shared" si="24"/>
        <v>59574.969999999128</v>
      </c>
      <c r="E263" s="173">
        <f t="shared" si="21"/>
        <v>4198684.7899999619</v>
      </c>
      <c r="F263" s="173">
        <f t="shared" si="25"/>
        <v>4486924.1899999613</v>
      </c>
      <c r="G263" s="100">
        <f t="shared" si="26"/>
        <v>2760503.8299999149</v>
      </c>
      <c r="H263" s="100">
        <f t="shared" si="27"/>
        <v>1662755.4300000481</v>
      </c>
    </row>
    <row r="264" spans="1:8" x14ac:dyDescent="0.25">
      <c r="A264" s="176">
        <v>42825</v>
      </c>
      <c r="B264" s="173">
        <f t="shared" si="22"/>
        <v>2553613.719999915</v>
      </c>
      <c r="C264" s="173">
        <f t="shared" si="23"/>
        <v>1538137.8600000478</v>
      </c>
      <c r="D264" s="173">
        <f t="shared" si="24"/>
        <v>58893.309999999125</v>
      </c>
      <c r="E264" s="173">
        <f t="shared" si="21"/>
        <v>4150644.8899999619</v>
      </c>
      <c r="F264" s="173">
        <f t="shared" si="25"/>
        <v>4438884.2899999619</v>
      </c>
      <c r="G264" s="100">
        <f t="shared" si="26"/>
        <v>2730948.0999999149</v>
      </c>
      <c r="H264" s="100">
        <f t="shared" si="27"/>
        <v>1644952.9200000477</v>
      </c>
    </row>
    <row r="265" spans="1:8" x14ac:dyDescent="0.25">
      <c r="A265" s="176">
        <v>42855</v>
      </c>
      <c r="B265" s="173">
        <f t="shared" si="22"/>
        <v>2524057.989999915</v>
      </c>
      <c r="C265" s="173">
        <f t="shared" si="23"/>
        <v>1520335.3500000478</v>
      </c>
      <c r="D265" s="173">
        <f t="shared" si="24"/>
        <v>58211.649999999121</v>
      </c>
      <c r="E265" s="173">
        <f t="shared" si="21"/>
        <v>4102604.9899999616</v>
      </c>
      <c r="F265" s="173">
        <f t="shared" si="25"/>
        <v>4390844.3899999624</v>
      </c>
      <c r="G265" s="100">
        <f t="shared" si="26"/>
        <v>2701392.3699999149</v>
      </c>
      <c r="H265" s="100">
        <f t="shared" si="27"/>
        <v>1627150.4100000479</v>
      </c>
    </row>
    <row r="266" spans="1:8" x14ac:dyDescent="0.25">
      <c r="A266" s="176">
        <v>42886</v>
      </c>
      <c r="B266" s="173">
        <f t="shared" si="22"/>
        <v>2494502.259999915</v>
      </c>
      <c r="C266" s="173">
        <f t="shared" si="23"/>
        <v>1502532.8400000478</v>
      </c>
      <c r="D266" s="173">
        <f t="shared" si="24"/>
        <v>57529.989999999118</v>
      </c>
      <c r="E266" s="173">
        <f t="shared" si="21"/>
        <v>4054565.0899999621</v>
      </c>
      <c r="F266" s="173">
        <f t="shared" si="25"/>
        <v>4342804.489999962</v>
      </c>
      <c r="G266" s="100">
        <f t="shared" si="26"/>
        <v>2671836.6399999149</v>
      </c>
      <c r="H266" s="100">
        <f t="shared" si="27"/>
        <v>1609347.9000000476</v>
      </c>
    </row>
    <row r="267" spans="1:8" x14ac:dyDescent="0.25">
      <c r="A267" s="176">
        <v>42916</v>
      </c>
      <c r="B267" s="173">
        <f t="shared" si="22"/>
        <v>2464946.529999915</v>
      </c>
      <c r="C267" s="173">
        <f t="shared" si="23"/>
        <v>1484730.3300000478</v>
      </c>
      <c r="D267" s="173">
        <f t="shared" si="24"/>
        <v>56848.329999999114</v>
      </c>
      <c r="E267" s="173">
        <f t="shared" si="21"/>
        <v>4006525.1899999622</v>
      </c>
      <c r="F267" s="173">
        <f t="shared" si="25"/>
        <v>4294764.5899999626</v>
      </c>
      <c r="G267" s="100">
        <f t="shared" si="26"/>
        <v>2642280.9099999149</v>
      </c>
      <c r="H267" s="100">
        <f t="shared" si="27"/>
        <v>1591545.3900000479</v>
      </c>
    </row>
    <row r="268" spans="1:8" x14ac:dyDescent="0.25">
      <c r="A268" s="176">
        <v>42947</v>
      </c>
      <c r="B268" s="173">
        <f t="shared" si="22"/>
        <v>2435390.7999999151</v>
      </c>
      <c r="C268" s="173">
        <f t="shared" si="23"/>
        <v>1466927.8200000478</v>
      </c>
      <c r="D268" s="173">
        <f t="shared" si="24"/>
        <v>56166.669999999111</v>
      </c>
      <c r="E268" s="173">
        <f t="shared" si="21"/>
        <v>3958485.2899999619</v>
      </c>
      <c r="F268" s="173">
        <f t="shared" si="25"/>
        <v>4246724.6899999613</v>
      </c>
      <c r="G268" s="100">
        <f t="shared" si="26"/>
        <v>2612725.179999915</v>
      </c>
      <c r="H268" s="100">
        <f t="shared" si="27"/>
        <v>1573742.8800000476</v>
      </c>
    </row>
    <row r="269" spans="1:8" x14ac:dyDescent="0.25">
      <c r="A269" s="176">
        <v>42978</v>
      </c>
      <c r="B269" s="173">
        <f t="shared" si="22"/>
        <v>2405835.0699999151</v>
      </c>
      <c r="C269" s="173">
        <f t="shared" si="23"/>
        <v>1449125.3100000478</v>
      </c>
      <c r="D269" s="173">
        <f t="shared" si="24"/>
        <v>55485.009999999107</v>
      </c>
      <c r="E269" s="173">
        <f t="shared" si="21"/>
        <v>3910445.3899999619</v>
      </c>
      <c r="F269" s="173">
        <f t="shared" si="25"/>
        <v>4198684.7899999619</v>
      </c>
      <c r="G269" s="100">
        <f t="shared" si="26"/>
        <v>2583169.449999915</v>
      </c>
      <c r="H269" s="100">
        <f t="shared" si="27"/>
        <v>1555940.3700000483</v>
      </c>
    </row>
    <row r="270" spans="1:8" x14ac:dyDescent="0.25">
      <c r="A270" s="176">
        <v>43008</v>
      </c>
      <c r="B270" s="173">
        <f t="shared" si="22"/>
        <v>2376279.3399999151</v>
      </c>
      <c r="C270" s="173">
        <f t="shared" si="23"/>
        <v>1431322.8000000478</v>
      </c>
      <c r="D270" s="173">
        <f t="shared" si="24"/>
        <v>54803.349999999104</v>
      </c>
      <c r="E270" s="173">
        <f t="shared" si="21"/>
        <v>3862405.489999962</v>
      </c>
      <c r="F270" s="173">
        <f t="shared" si="25"/>
        <v>4150644.8899999619</v>
      </c>
      <c r="G270" s="100">
        <f t="shared" si="26"/>
        <v>2553613.719999915</v>
      </c>
      <c r="H270" s="100">
        <f t="shared" si="27"/>
        <v>1538137.8600000478</v>
      </c>
    </row>
    <row r="271" spans="1:8" x14ac:dyDescent="0.25">
      <c r="A271" s="176">
        <v>43039</v>
      </c>
      <c r="B271" s="173">
        <f t="shared" si="22"/>
        <v>2346723.6099999151</v>
      </c>
      <c r="C271" s="173">
        <f t="shared" si="23"/>
        <v>1413520.2900000478</v>
      </c>
      <c r="D271" s="173">
        <f t="shared" si="24"/>
        <v>54121.6899999991</v>
      </c>
      <c r="E271" s="173">
        <f t="shared" ref="E271:E285" si="28">SUM(B271:D271)</f>
        <v>3814365.5899999621</v>
      </c>
      <c r="F271" s="173">
        <f t="shared" si="25"/>
        <v>4102604.9899999625</v>
      </c>
      <c r="G271" s="100">
        <f t="shared" si="26"/>
        <v>2524057.989999915</v>
      </c>
      <c r="H271" s="100">
        <f t="shared" si="27"/>
        <v>1520335.3500000478</v>
      </c>
    </row>
    <row r="272" spans="1:8" x14ac:dyDescent="0.25">
      <c r="A272" s="176">
        <v>43069</v>
      </c>
      <c r="B272" s="173">
        <f t="shared" ref="B272:B285" si="29">B271-$B$13</f>
        <v>2317167.8799999151</v>
      </c>
      <c r="C272" s="173">
        <f t="shared" ref="C272:C285" si="30">C271-$C$13</f>
        <v>1395717.7800000478</v>
      </c>
      <c r="D272" s="173">
        <f t="shared" ref="D272:D285" si="31">D271-$D$13</f>
        <v>53440.029999999097</v>
      </c>
      <c r="E272" s="173">
        <f t="shared" si="28"/>
        <v>3766325.6899999622</v>
      </c>
      <c r="F272" s="173">
        <f t="shared" si="25"/>
        <v>4054565.0899999621</v>
      </c>
      <c r="G272" s="100">
        <f t="shared" si="26"/>
        <v>2494502.259999915</v>
      </c>
      <c r="H272" s="100">
        <f t="shared" si="27"/>
        <v>1502532.8400000476</v>
      </c>
    </row>
    <row r="273" spans="1:8" x14ac:dyDescent="0.25">
      <c r="A273" s="176">
        <v>43100</v>
      </c>
      <c r="B273" s="173">
        <f t="shared" si="29"/>
        <v>2287612.1499999152</v>
      </c>
      <c r="C273" s="173">
        <f t="shared" si="30"/>
        <v>1377915.2700000477</v>
      </c>
      <c r="D273" s="173">
        <f t="shared" si="31"/>
        <v>52758.369999999093</v>
      </c>
      <c r="E273" s="173">
        <f t="shared" si="28"/>
        <v>3718285.7899999619</v>
      </c>
      <c r="F273" s="173">
        <f t="shared" si="25"/>
        <v>4006525.1899999618</v>
      </c>
      <c r="G273" s="100">
        <f t="shared" si="26"/>
        <v>2464946.5299999146</v>
      </c>
      <c r="H273" s="100">
        <f t="shared" si="27"/>
        <v>1484730.3300000476</v>
      </c>
    </row>
    <row r="274" spans="1:8" x14ac:dyDescent="0.25">
      <c r="A274" s="176">
        <v>43131</v>
      </c>
      <c r="B274" s="173">
        <f t="shared" si="29"/>
        <v>2258056.4199999152</v>
      </c>
      <c r="C274" s="173">
        <f t="shared" si="30"/>
        <v>1360112.7600000477</v>
      </c>
      <c r="D274" s="173">
        <f t="shared" si="31"/>
        <v>52076.70999999909</v>
      </c>
      <c r="E274" s="173">
        <f t="shared" si="28"/>
        <v>3670245.8899999619</v>
      </c>
      <c r="F274" s="173">
        <f t="shared" si="25"/>
        <v>3958485.2899999619</v>
      </c>
      <c r="G274" s="100">
        <f t="shared" si="26"/>
        <v>2435390.7999999151</v>
      </c>
      <c r="H274" s="100">
        <f t="shared" si="27"/>
        <v>1466927.8200000478</v>
      </c>
    </row>
    <row r="275" spans="1:8" x14ac:dyDescent="0.25">
      <c r="A275" s="176">
        <v>43159</v>
      </c>
      <c r="B275" s="173">
        <f t="shared" si="29"/>
        <v>2228500.6899999152</v>
      </c>
      <c r="C275" s="173">
        <f t="shared" si="30"/>
        <v>1342310.2500000477</v>
      </c>
      <c r="D275" s="173">
        <f t="shared" si="31"/>
        <v>51395.049999999086</v>
      </c>
      <c r="E275" s="173">
        <f t="shared" si="28"/>
        <v>3622205.989999962</v>
      </c>
      <c r="F275" s="173">
        <f t="shared" si="25"/>
        <v>3910445.3899999619</v>
      </c>
      <c r="G275" s="100">
        <f t="shared" si="26"/>
        <v>2405835.0699999151</v>
      </c>
      <c r="H275" s="100">
        <f t="shared" si="27"/>
        <v>1449125.3100000478</v>
      </c>
    </row>
    <row r="276" spans="1:8" x14ac:dyDescent="0.25">
      <c r="A276" s="176">
        <v>43190</v>
      </c>
      <c r="B276" s="173">
        <f t="shared" si="29"/>
        <v>2198944.9599999152</v>
      </c>
      <c r="C276" s="173">
        <f t="shared" si="30"/>
        <v>1324507.7400000477</v>
      </c>
      <c r="D276" s="173">
        <f t="shared" si="31"/>
        <v>50713.389999999083</v>
      </c>
      <c r="E276" s="173">
        <f t="shared" si="28"/>
        <v>3574166.0899999621</v>
      </c>
      <c r="F276" s="173">
        <f t="shared" si="25"/>
        <v>3862405.4899999625</v>
      </c>
      <c r="G276" s="100">
        <f t="shared" si="26"/>
        <v>2376279.3399999151</v>
      </c>
      <c r="H276" s="100">
        <f t="shared" si="27"/>
        <v>1431322.800000048</v>
      </c>
    </row>
    <row r="277" spans="1:8" x14ac:dyDescent="0.25">
      <c r="A277" s="176">
        <v>43220</v>
      </c>
      <c r="B277" s="173">
        <f t="shared" si="29"/>
        <v>2169389.2299999152</v>
      </c>
      <c r="C277" s="173">
        <f t="shared" si="30"/>
        <v>1306705.2300000477</v>
      </c>
      <c r="D277" s="173">
        <f t="shared" si="31"/>
        <v>50031.729999999079</v>
      </c>
      <c r="E277" s="173">
        <f t="shared" si="28"/>
        <v>3526126.1899999618</v>
      </c>
      <c r="F277" s="173">
        <f t="shared" si="25"/>
        <v>3814365.5899999621</v>
      </c>
      <c r="G277" s="100">
        <f t="shared" si="26"/>
        <v>2346723.6099999151</v>
      </c>
      <c r="H277" s="100">
        <f t="shared" si="27"/>
        <v>1413520.2900000478</v>
      </c>
    </row>
    <row r="278" spans="1:8" x14ac:dyDescent="0.25">
      <c r="A278" s="176">
        <v>43251</v>
      </c>
      <c r="B278" s="173">
        <f t="shared" si="29"/>
        <v>2139833.4999999152</v>
      </c>
      <c r="C278" s="173">
        <f t="shared" si="30"/>
        <v>1288902.7200000477</v>
      </c>
      <c r="D278" s="173">
        <f t="shared" si="31"/>
        <v>49350.069999999076</v>
      </c>
      <c r="E278" s="173">
        <f t="shared" si="28"/>
        <v>3478086.2899999619</v>
      </c>
      <c r="F278" s="173">
        <f t="shared" si="25"/>
        <v>3766325.6899999618</v>
      </c>
      <c r="G278" s="100">
        <f t="shared" si="26"/>
        <v>2317167.8799999151</v>
      </c>
      <c r="H278" s="100">
        <f t="shared" si="27"/>
        <v>1395717.7800000478</v>
      </c>
    </row>
    <row r="279" spans="1:8" x14ac:dyDescent="0.25">
      <c r="A279" s="176">
        <v>43281</v>
      </c>
      <c r="B279" s="173">
        <f t="shared" si="29"/>
        <v>2110277.7699999153</v>
      </c>
      <c r="C279" s="173">
        <f t="shared" si="30"/>
        <v>1271100.2100000477</v>
      </c>
      <c r="D279" s="173">
        <f t="shared" si="31"/>
        <v>48668.409999999072</v>
      </c>
      <c r="E279" s="173">
        <f t="shared" si="28"/>
        <v>3430046.3899999624</v>
      </c>
      <c r="F279" s="173">
        <f t="shared" si="25"/>
        <v>3718285.7899999619</v>
      </c>
      <c r="G279" s="100">
        <f t="shared" si="26"/>
        <v>2287612.1499999152</v>
      </c>
      <c r="H279" s="100">
        <f t="shared" si="27"/>
        <v>1377915.2700000477</v>
      </c>
    </row>
    <row r="280" spans="1:8" x14ac:dyDescent="0.25">
      <c r="A280" s="176">
        <v>43312</v>
      </c>
      <c r="B280" s="173">
        <f t="shared" si="29"/>
        <v>2080722.0399999153</v>
      </c>
      <c r="C280" s="173">
        <f t="shared" si="30"/>
        <v>1253297.7000000477</v>
      </c>
      <c r="D280" s="173">
        <f t="shared" si="31"/>
        <v>47986.749999999069</v>
      </c>
      <c r="E280" s="173">
        <f t="shared" si="28"/>
        <v>3382006.489999962</v>
      </c>
      <c r="F280" s="173">
        <f t="shared" si="25"/>
        <v>3670245.8899999619</v>
      </c>
      <c r="G280" s="100">
        <f t="shared" si="26"/>
        <v>2258056.4199999152</v>
      </c>
      <c r="H280" s="100">
        <f t="shared" si="27"/>
        <v>1360112.7600000477</v>
      </c>
    </row>
    <row r="281" spans="1:8" x14ac:dyDescent="0.25">
      <c r="A281" s="176">
        <v>43343</v>
      </c>
      <c r="B281" s="173">
        <f t="shared" si="29"/>
        <v>2051166.3099999153</v>
      </c>
      <c r="C281" s="173">
        <f t="shared" si="30"/>
        <v>1235495.1900000477</v>
      </c>
      <c r="D281" s="173">
        <f t="shared" si="31"/>
        <v>47305.089999999065</v>
      </c>
      <c r="E281" s="173">
        <f t="shared" si="28"/>
        <v>3333966.5899999617</v>
      </c>
      <c r="F281" s="173">
        <f t="shared" si="25"/>
        <v>3622205.9899999625</v>
      </c>
      <c r="G281" s="100">
        <f t="shared" si="26"/>
        <v>2228500.6899999152</v>
      </c>
      <c r="H281" s="100">
        <f t="shared" si="27"/>
        <v>1342310.2500000477</v>
      </c>
    </row>
    <row r="282" spans="1:8" x14ac:dyDescent="0.25">
      <c r="A282" s="176">
        <v>43373</v>
      </c>
      <c r="B282" s="173">
        <f t="shared" si="29"/>
        <v>2021610.5799999153</v>
      </c>
      <c r="C282" s="173">
        <f t="shared" si="30"/>
        <v>1217692.6800000477</v>
      </c>
      <c r="D282" s="173">
        <f t="shared" si="31"/>
        <v>46623.429999999062</v>
      </c>
      <c r="E282" s="173">
        <f t="shared" si="28"/>
        <v>3285926.6899999622</v>
      </c>
      <c r="F282" s="173">
        <f t="shared" si="25"/>
        <v>3574166.0899999612</v>
      </c>
      <c r="G282" s="100">
        <f t="shared" si="26"/>
        <v>2198944.9599999152</v>
      </c>
      <c r="H282" s="100">
        <f t="shared" si="27"/>
        <v>1324507.7400000477</v>
      </c>
    </row>
    <row r="283" spans="1:8" x14ac:dyDescent="0.25">
      <c r="A283" s="176">
        <v>43404</v>
      </c>
      <c r="B283" s="173">
        <f t="shared" si="29"/>
        <v>1992054.8499999153</v>
      </c>
      <c r="C283" s="173">
        <f t="shared" si="30"/>
        <v>1199890.1700000477</v>
      </c>
      <c r="D283" s="173">
        <f t="shared" si="31"/>
        <v>45941.769999999058</v>
      </c>
      <c r="E283" s="173">
        <f t="shared" si="28"/>
        <v>3237886.7899999623</v>
      </c>
      <c r="F283" s="173">
        <f t="shared" ref="F283:F285" si="32">(E271+E283+SUM(E272:E282)*2)/24</f>
        <v>3526126.1899999618</v>
      </c>
      <c r="G283" s="100">
        <f t="shared" ref="G283:G285" si="33">(B271+B283+SUM(B272:B282)*2)/24</f>
        <v>2169389.2299999152</v>
      </c>
      <c r="H283" s="100">
        <f t="shared" ref="H283:H284" si="34">(C271+C283+SUM(C272:C282)*2)/24</f>
        <v>1306705.2300000477</v>
      </c>
    </row>
    <row r="284" spans="1:8" x14ac:dyDescent="0.25">
      <c r="A284" s="176">
        <v>43434</v>
      </c>
      <c r="B284" s="173">
        <f t="shared" si="29"/>
        <v>1962499.1199999154</v>
      </c>
      <c r="C284" s="173">
        <f t="shared" si="30"/>
        <v>1182087.6600000476</v>
      </c>
      <c r="D284" s="173">
        <f t="shared" si="31"/>
        <v>45260.109999999055</v>
      </c>
      <c r="E284" s="173">
        <f t="shared" si="28"/>
        <v>3189846.8899999619</v>
      </c>
      <c r="F284" s="173">
        <f t="shared" si="32"/>
        <v>3478086.2899999619</v>
      </c>
      <c r="G284" s="100">
        <f t="shared" si="33"/>
        <v>2139833.4999999157</v>
      </c>
      <c r="H284" s="100">
        <f t="shared" si="34"/>
        <v>1288902.7200000477</v>
      </c>
    </row>
    <row r="285" spans="1:8" x14ac:dyDescent="0.25">
      <c r="A285" s="176">
        <v>43465</v>
      </c>
      <c r="B285" s="178">
        <f t="shared" si="29"/>
        <v>1932943.3899999154</v>
      </c>
      <c r="C285" s="173">
        <f t="shared" si="30"/>
        <v>1164285.1500000476</v>
      </c>
      <c r="D285" s="173">
        <f t="shared" si="31"/>
        <v>44578.449999999051</v>
      </c>
      <c r="E285" s="173">
        <f t="shared" si="28"/>
        <v>3141806.989999962</v>
      </c>
      <c r="F285" s="173">
        <f t="shared" si="32"/>
        <v>3430046.3899999619</v>
      </c>
      <c r="G285" s="178">
        <f t="shared" si="33"/>
        <v>2110277.7699999153</v>
      </c>
      <c r="H285" s="100">
        <f>(C273+C285+SUM(C274:C284)*2)/24</f>
        <v>1271100.2100000479</v>
      </c>
    </row>
    <row r="286" spans="1:8" x14ac:dyDescent="0.25">
      <c r="A286" s="176"/>
      <c r="B286" s="173"/>
      <c r="C286" s="173"/>
      <c r="D286" s="173"/>
      <c r="E286" s="173"/>
      <c r="F286" s="173"/>
      <c r="G286" s="100"/>
      <c r="H286" s="100"/>
    </row>
    <row r="287" spans="1:8" x14ac:dyDescent="0.25">
      <c r="A287" s="176"/>
      <c r="B287" s="173"/>
      <c r="C287" s="173"/>
      <c r="D287" s="173"/>
      <c r="E287" s="173"/>
      <c r="F287" s="173"/>
      <c r="G287" s="100"/>
      <c r="H287" s="100"/>
    </row>
    <row r="288" spans="1:8" x14ac:dyDescent="0.25">
      <c r="B288" s="173"/>
      <c r="C288" s="173"/>
      <c r="D288" s="173"/>
      <c r="E288" s="173"/>
      <c r="F288" s="179">
        <v>43100</v>
      </c>
      <c r="G288" s="180">
        <f>B273</f>
        <v>2287612.1499999152</v>
      </c>
    </row>
    <row r="289" spans="2:7" x14ac:dyDescent="0.25">
      <c r="B289" s="173"/>
      <c r="C289" s="173"/>
      <c r="D289" s="173"/>
      <c r="E289" s="173"/>
      <c r="F289" s="179">
        <v>43465</v>
      </c>
      <c r="G289" s="181">
        <f>B285</f>
        <v>1932943.3899999154</v>
      </c>
    </row>
    <row r="290" spans="2:7" ht="13.8" thickBot="1" x14ac:dyDescent="0.3">
      <c r="B290" s="173"/>
      <c r="C290" s="173"/>
      <c r="D290" s="173"/>
      <c r="E290" s="173"/>
      <c r="G290" s="182">
        <f>G288-G289</f>
        <v>354668.75999999978</v>
      </c>
    </row>
    <row r="291" spans="2:7" ht="13.8" thickTop="1" x14ac:dyDescent="0.25">
      <c r="B291" s="173"/>
      <c r="C291" s="173"/>
      <c r="D291" s="173"/>
      <c r="E291" s="17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62"/>
  <sheetViews>
    <sheetView workbookViewId="0">
      <selection sqref="A1:XFD1048576"/>
    </sheetView>
  </sheetViews>
  <sheetFormatPr defaultColWidth="11.6640625" defaultRowHeight="14.4" x14ac:dyDescent="0.3"/>
  <cols>
    <col min="1" max="1" width="16" style="127" customWidth="1"/>
    <col min="2" max="2" width="12.33203125" style="127" bestFit="1" customWidth="1"/>
    <col min="3" max="3" width="16" style="127" bestFit="1" customWidth="1"/>
    <col min="4" max="4" width="12.33203125" style="127" bestFit="1" customWidth="1"/>
    <col min="5" max="5" width="11.5546875" style="127" bestFit="1" customWidth="1"/>
    <col min="6" max="6" width="13.33203125" style="127" bestFit="1" customWidth="1"/>
    <col min="7" max="7" width="9.109375" style="127" bestFit="1" customWidth="1"/>
    <col min="8" max="8" width="15.44140625" style="127" bestFit="1" customWidth="1"/>
    <col min="9" max="9" width="6.33203125" style="127" bestFit="1" customWidth="1"/>
    <col min="10" max="15" width="15.44140625" style="127" bestFit="1" customWidth="1"/>
    <col min="16" max="16384" width="11.6640625" style="127"/>
  </cols>
  <sheetData>
    <row r="1" spans="1:15" ht="18" x14ac:dyDescent="0.35">
      <c r="A1" s="456" t="s">
        <v>279</v>
      </c>
      <c r="B1" s="456"/>
      <c r="C1" s="456"/>
      <c r="D1" s="456"/>
      <c r="E1" s="456"/>
      <c r="F1" s="456"/>
    </row>
    <row r="2" spans="1:15" x14ac:dyDescent="0.3">
      <c r="A2" s="457"/>
      <c r="B2" s="457"/>
      <c r="C2" s="457"/>
      <c r="D2" s="457"/>
      <c r="E2" s="457"/>
      <c r="F2" s="457"/>
      <c r="H2" s="128"/>
      <c r="I2" s="128"/>
      <c r="J2" s="128"/>
      <c r="K2" s="128"/>
      <c r="L2" s="128"/>
      <c r="M2" s="128"/>
      <c r="N2" s="128"/>
      <c r="O2" s="128"/>
    </row>
    <row r="3" spans="1:15" x14ac:dyDescent="0.3">
      <c r="A3" s="41" t="s">
        <v>30</v>
      </c>
      <c r="B3" s="41" t="s">
        <v>278</v>
      </c>
      <c r="C3" s="41" t="s">
        <v>277</v>
      </c>
      <c r="D3" s="41" t="s">
        <v>276</v>
      </c>
      <c r="E3" s="41" t="s">
        <v>83</v>
      </c>
      <c r="F3" s="41" t="s">
        <v>150</v>
      </c>
      <c r="H3" s="128"/>
      <c r="I3" s="128"/>
      <c r="J3" s="128"/>
      <c r="K3" s="128"/>
      <c r="L3" s="128"/>
      <c r="M3" s="128"/>
      <c r="N3" s="128"/>
      <c r="O3" s="128"/>
    </row>
    <row r="4" spans="1:15" x14ac:dyDescent="0.3">
      <c r="A4" s="41" t="s">
        <v>275</v>
      </c>
      <c r="B4" s="129">
        <v>11400031</v>
      </c>
      <c r="C4" s="129">
        <v>11400061</v>
      </c>
      <c r="D4" s="129">
        <v>11400071</v>
      </c>
      <c r="E4" s="129">
        <v>1140091</v>
      </c>
      <c r="F4" s="130"/>
      <c r="H4" s="128"/>
      <c r="I4" s="128"/>
      <c r="J4" s="128"/>
      <c r="K4" s="128"/>
      <c r="L4" s="128"/>
      <c r="M4" s="128"/>
      <c r="N4" s="128"/>
      <c r="O4" s="128"/>
    </row>
    <row r="5" spans="1:15" x14ac:dyDescent="0.3">
      <c r="A5" s="117">
        <v>43070</v>
      </c>
      <c r="B5" s="131">
        <v>76622596.840000004</v>
      </c>
      <c r="C5" s="131">
        <v>156960790.84</v>
      </c>
      <c r="D5" s="131">
        <v>16950332.899999999</v>
      </c>
      <c r="E5" s="131">
        <v>31009424.030000001</v>
      </c>
      <c r="F5" s="132">
        <f t="shared" ref="F5:F17" si="0">SUM(B5:E5)</f>
        <v>281543144.61000001</v>
      </c>
      <c r="H5" s="128"/>
      <c r="I5" s="128"/>
      <c r="J5" s="128"/>
      <c r="K5" s="128"/>
      <c r="L5" s="128"/>
      <c r="M5" s="128"/>
      <c r="N5" s="128"/>
      <c r="O5" s="128"/>
    </row>
    <row r="6" spans="1:15" x14ac:dyDescent="0.3">
      <c r="A6" s="117">
        <v>43101</v>
      </c>
      <c r="B6" s="131">
        <v>76622596.840000004</v>
      </c>
      <c r="C6" s="131">
        <v>156960790.84</v>
      </c>
      <c r="D6" s="131">
        <v>16950332.899999999</v>
      </c>
      <c r="E6" s="131">
        <v>31009424.030000001</v>
      </c>
      <c r="F6" s="132">
        <f t="shared" si="0"/>
        <v>281543144.61000001</v>
      </c>
    </row>
    <row r="7" spans="1:15" x14ac:dyDescent="0.3">
      <c r="A7" s="117">
        <v>43133</v>
      </c>
      <c r="B7" s="132">
        <v>76622596.840000004</v>
      </c>
      <c r="C7" s="132">
        <v>156960790.84</v>
      </c>
      <c r="D7" s="132">
        <v>16950332.899999999</v>
      </c>
      <c r="E7" s="132">
        <v>31009424.030000001</v>
      </c>
      <c r="F7" s="132">
        <f t="shared" si="0"/>
        <v>281543144.61000001</v>
      </c>
    </row>
    <row r="8" spans="1:15" x14ac:dyDescent="0.3">
      <c r="A8" s="117">
        <v>43190</v>
      </c>
      <c r="B8" s="131">
        <v>76622596.840000004</v>
      </c>
      <c r="C8" s="131">
        <v>156960790.84</v>
      </c>
      <c r="D8" s="131">
        <v>16950332.899999999</v>
      </c>
      <c r="E8" s="131">
        <v>31009424.030000001</v>
      </c>
      <c r="F8" s="132">
        <f t="shared" si="0"/>
        <v>281543144.61000001</v>
      </c>
    </row>
    <row r="9" spans="1:15" x14ac:dyDescent="0.3">
      <c r="A9" s="117">
        <v>43191</v>
      </c>
      <c r="B9" s="132">
        <v>76622596.840000004</v>
      </c>
      <c r="C9" s="132">
        <v>156960790.84</v>
      </c>
      <c r="D9" s="132">
        <v>16950332.899999999</v>
      </c>
      <c r="E9" s="132">
        <v>31009424.030000001</v>
      </c>
      <c r="F9" s="132">
        <f t="shared" si="0"/>
        <v>281543144.61000001</v>
      </c>
    </row>
    <row r="10" spans="1:15" x14ac:dyDescent="0.3">
      <c r="A10" s="117">
        <v>43222</v>
      </c>
      <c r="B10" s="132">
        <v>76622596.840000004</v>
      </c>
      <c r="C10" s="132">
        <v>156960790.84</v>
      </c>
      <c r="D10" s="132">
        <v>16950332.899999999</v>
      </c>
      <c r="E10" s="132">
        <v>31009424.030000001</v>
      </c>
      <c r="F10" s="132">
        <f t="shared" si="0"/>
        <v>281543144.61000001</v>
      </c>
    </row>
    <row r="11" spans="1:15" x14ac:dyDescent="0.3">
      <c r="A11" s="117">
        <v>43281</v>
      </c>
      <c r="B11" s="131">
        <v>76622596.840000004</v>
      </c>
      <c r="C11" s="131">
        <v>156960790.84</v>
      </c>
      <c r="D11" s="131">
        <v>16950332.899999999</v>
      </c>
      <c r="E11" s="131">
        <v>31009424.030000001</v>
      </c>
      <c r="F11" s="132">
        <f t="shared" si="0"/>
        <v>281543144.61000001</v>
      </c>
    </row>
    <row r="12" spans="1:15" x14ac:dyDescent="0.3">
      <c r="A12" s="117">
        <v>43282</v>
      </c>
      <c r="B12" s="131">
        <v>76622596.840000004</v>
      </c>
      <c r="C12" s="132">
        <v>156960790.84</v>
      </c>
      <c r="D12" s="132">
        <v>16950332.899999999</v>
      </c>
      <c r="E12" s="132">
        <v>31009424.030000001</v>
      </c>
      <c r="F12" s="132">
        <f t="shared" si="0"/>
        <v>281543144.61000001</v>
      </c>
    </row>
    <row r="13" spans="1:15" x14ac:dyDescent="0.3">
      <c r="A13" s="117">
        <v>43314</v>
      </c>
      <c r="B13" s="131">
        <v>76622596.840000004</v>
      </c>
      <c r="C13" s="132">
        <v>156960790.84</v>
      </c>
      <c r="D13" s="132">
        <v>16950332.899999999</v>
      </c>
      <c r="E13" s="132">
        <v>31009424.030000001</v>
      </c>
      <c r="F13" s="132">
        <f t="shared" si="0"/>
        <v>281543144.61000001</v>
      </c>
    </row>
    <row r="14" spans="1:15" x14ac:dyDescent="0.3">
      <c r="A14" s="117">
        <v>43346</v>
      </c>
      <c r="B14" s="131">
        <v>76622596.840000004</v>
      </c>
      <c r="C14" s="131">
        <v>156960790.84</v>
      </c>
      <c r="D14" s="131">
        <v>16950332.899999999</v>
      </c>
      <c r="E14" s="131">
        <v>31009424.030000001</v>
      </c>
      <c r="F14" s="131">
        <f t="shared" si="0"/>
        <v>281543144.61000001</v>
      </c>
    </row>
    <row r="15" spans="1:15" x14ac:dyDescent="0.3">
      <c r="A15" s="117">
        <v>43377</v>
      </c>
      <c r="B15" s="131">
        <v>76622596.840000004</v>
      </c>
      <c r="C15" s="132">
        <v>156960790.84</v>
      </c>
      <c r="D15" s="132">
        <v>16950332.899999999</v>
      </c>
      <c r="E15" s="132">
        <v>31009424.030000001</v>
      </c>
      <c r="F15" s="132">
        <f t="shared" si="0"/>
        <v>281543144.61000001</v>
      </c>
    </row>
    <row r="16" spans="1:15" x14ac:dyDescent="0.3">
      <c r="A16" s="117">
        <v>43410</v>
      </c>
      <c r="B16" s="131">
        <v>76622596.840000004</v>
      </c>
      <c r="C16" s="132">
        <v>156960790.84</v>
      </c>
      <c r="D16" s="132">
        <v>16950332.899999999</v>
      </c>
      <c r="E16" s="132">
        <v>31009424.030000001</v>
      </c>
      <c r="F16" s="132">
        <f t="shared" si="0"/>
        <v>281543144.61000001</v>
      </c>
    </row>
    <row r="17" spans="1:15" x14ac:dyDescent="0.3">
      <c r="A17" s="117">
        <v>43441</v>
      </c>
      <c r="B17" s="133">
        <v>76622596.840000004</v>
      </c>
      <c r="C17" s="133">
        <v>156960790.84</v>
      </c>
      <c r="D17" s="133">
        <v>16950332.899999999</v>
      </c>
      <c r="E17" s="133">
        <v>31009424.030000001</v>
      </c>
      <c r="F17" s="134">
        <f t="shared" si="0"/>
        <v>281543144.61000001</v>
      </c>
      <c r="G17" s="127" t="s">
        <v>6</v>
      </c>
      <c r="K17" s="132"/>
    </row>
    <row r="18" spans="1:15" x14ac:dyDescent="0.3">
      <c r="A18" s="119" t="s">
        <v>254</v>
      </c>
      <c r="B18" s="135">
        <f>ROUND(((B5+B17+SUM(B6:B16)*2))/24,0)</f>
        <v>76622597</v>
      </c>
      <c r="C18" s="135">
        <f>ROUND(((C5+C17+SUM(C6:C16)*2))/24,0)</f>
        <v>156960791</v>
      </c>
      <c r="D18" s="135">
        <f>ROUND(((D5+D17+SUM(D6:D16)*2))/24,0)</f>
        <v>16950333</v>
      </c>
      <c r="E18" s="135">
        <f>ROUND(((E5+E17+SUM(E6:E16)*2))/24,0)</f>
        <v>31009424</v>
      </c>
      <c r="F18" s="136">
        <f>ROUND(((F5+F17+SUM(F6:F16)*2))/24,0)</f>
        <v>281543145</v>
      </c>
      <c r="G18" s="127" t="s">
        <v>254</v>
      </c>
      <c r="K18" s="132"/>
    </row>
    <row r="19" spans="1:15" x14ac:dyDescent="0.3">
      <c r="A19" s="457"/>
      <c r="B19" s="457"/>
      <c r="C19" s="457"/>
      <c r="D19" s="457"/>
      <c r="E19" s="457"/>
      <c r="F19" s="457"/>
      <c r="K19" s="132"/>
    </row>
    <row r="20" spans="1:15" x14ac:dyDescent="0.3">
      <c r="A20" s="41" t="s">
        <v>30</v>
      </c>
      <c r="B20" s="19" t="s">
        <v>278</v>
      </c>
      <c r="C20" s="19" t="s">
        <v>277</v>
      </c>
      <c r="D20" s="19" t="s">
        <v>276</v>
      </c>
      <c r="E20" s="19" t="s">
        <v>83</v>
      </c>
      <c r="F20" s="19" t="s">
        <v>150</v>
      </c>
    </row>
    <row r="21" spans="1:15" x14ac:dyDescent="0.3">
      <c r="A21" s="41" t="s">
        <v>275</v>
      </c>
      <c r="B21" s="129">
        <v>11500031</v>
      </c>
      <c r="C21" s="129">
        <v>11500041</v>
      </c>
      <c r="D21" s="129">
        <v>11500051</v>
      </c>
      <c r="E21" s="129">
        <v>11500061</v>
      </c>
      <c r="F21" s="130"/>
      <c r="H21" s="128"/>
      <c r="I21" s="128"/>
      <c r="J21" s="128"/>
      <c r="K21" s="128"/>
      <c r="L21" s="128"/>
      <c r="M21" s="128"/>
      <c r="N21" s="128"/>
      <c r="O21" s="128"/>
    </row>
    <row r="22" spans="1:15" x14ac:dyDescent="0.3">
      <c r="A22" s="117">
        <v>43076</v>
      </c>
      <c r="B22" s="137">
        <v>-63800238.659999996</v>
      </c>
      <c r="C22" s="131">
        <v>-41800138.520000003</v>
      </c>
      <c r="D22" s="131">
        <v>-16950332.899999999</v>
      </c>
      <c r="E22" s="131">
        <v>-5867268.1699999999</v>
      </c>
      <c r="F22" s="132">
        <f t="shared" ref="F22:F34" si="1">SUM(B22:E22)</f>
        <v>-128417978.25000001</v>
      </c>
      <c r="G22" s="18"/>
      <c r="H22" s="128"/>
      <c r="I22" s="128"/>
      <c r="J22" s="128"/>
      <c r="K22" s="128"/>
      <c r="L22" s="128"/>
      <c r="M22" s="128"/>
      <c r="N22" s="128"/>
      <c r="O22" s="128"/>
    </row>
    <row r="23" spans="1:15" x14ac:dyDescent="0.3">
      <c r="A23" s="117">
        <v>43101</v>
      </c>
      <c r="B23" s="137">
        <f t="shared" ref="B23:B34" si="2">B22-221075</f>
        <v>-64021313.659999996</v>
      </c>
      <c r="C23" s="131">
        <f t="shared" ref="C23:C34" si="3">C22-384708.28</f>
        <v>-42184846.800000004</v>
      </c>
      <c r="D23" s="131">
        <v>-16950332.899999999</v>
      </c>
      <c r="E23" s="131">
        <f t="shared" ref="E23:E34" si="4">E22-95416.15</f>
        <v>-5962684.3200000003</v>
      </c>
      <c r="F23" s="132">
        <f t="shared" si="1"/>
        <v>-129119177.68000001</v>
      </c>
      <c r="G23" s="18"/>
      <c r="H23" s="128"/>
      <c r="I23" s="128"/>
      <c r="J23" s="128"/>
      <c r="K23" s="128"/>
      <c r="L23" s="128"/>
      <c r="M23" s="128"/>
      <c r="N23" s="128"/>
      <c r="O23" s="128"/>
    </row>
    <row r="24" spans="1:15" x14ac:dyDescent="0.3">
      <c r="A24" s="117">
        <v>43133</v>
      </c>
      <c r="B24" s="137">
        <f t="shared" si="2"/>
        <v>-64242388.659999996</v>
      </c>
      <c r="C24" s="131">
        <f t="shared" si="3"/>
        <v>-42569555.080000006</v>
      </c>
      <c r="D24" s="131">
        <v>-16950332.899999999</v>
      </c>
      <c r="E24" s="131">
        <f t="shared" si="4"/>
        <v>-6058100.4700000007</v>
      </c>
      <c r="F24" s="132">
        <f t="shared" si="1"/>
        <v>-129820377.11000001</v>
      </c>
      <c r="G24" s="18"/>
      <c r="H24" s="128"/>
      <c r="I24" s="128"/>
      <c r="J24" s="128"/>
      <c r="K24" s="128"/>
      <c r="L24" s="128"/>
      <c r="M24" s="128"/>
      <c r="N24" s="128"/>
      <c r="O24" s="128"/>
    </row>
    <row r="25" spans="1:15" x14ac:dyDescent="0.3">
      <c r="A25" s="117">
        <v>43190</v>
      </c>
      <c r="B25" s="137">
        <f t="shared" si="2"/>
        <v>-64463463.659999996</v>
      </c>
      <c r="C25" s="131">
        <f t="shared" si="3"/>
        <v>-42954263.360000007</v>
      </c>
      <c r="D25" s="131">
        <v>-16950332.899999999</v>
      </c>
      <c r="E25" s="131">
        <f t="shared" si="4"/>
        <v>-6153516.620000001</v>
      </c>
      <c r="F25" s="132">
        <f t="shared" si="1"/>
        <v>-130521576.54000002</v>
      </c>
      <c r="G25" s="18"/>
    </row>
    <row r="26" spans="1:15" x14ac:dyDescent="0.3">
      <c r="A26" s="117">
        <v>43191</v>
      </c>
      <c r="B26" s="137">
        <f t="shared" si="2"/>
        <v>-64684538.659999996</v>
      </c>
      <c r="C26" s="131">
        <f t="shared" si="3"/>
        <v>-43338971.640000008</v>
      </c>
      <c r="D26" s="131">
        <v>-16950332.899999999</v>
      </c>
      <c r="E26" s="131">
        <f t="shared" si="4"/>
        <v>-6248932.7700000014</v>
      </c>
      <c r="F26" s="132">
        <f t="shared" si="1"/>
        <v>-131222775.97000001</v>
      </c>
      <c r="G26" s="18"/>
    </row>
    <row r="27" spans="1:15" x14ac:dyDescent="0.3">
      <c r="A27" s="117">
        <v>43222</v>
      </c>
      <c r="B27" s="137">
        <f t="shared" si="2"/>
        <v>-64905613.659999996</v>
      </c>
      <c r="C27" s="131">
        <f t="shared" si="3"/>
        <v>-43723679.920000009</v>
      </c>
      <c r="D27" s="131">
        <v>-16950332.899999999</v>
      </c>
      <c r="E27" s="131">
        <f t="shared" si="4"/>
        <v>-6344348.9200000018</v>
      </c>
      <c r="F27" s="132">
        <f t="shared" si="1"/>
        <v>-131923975.40000002</v>
      </c>
      <c r="G27" s="18"/>
    </row>
    <row r="28" spans="1:15" x14ac:dyDescent="0.3">
      <c r="A28" s="117">
        <v>43281</v>
      </c>
      <c r="B28" s="137">
        <f t="shared" si="2"/>
        <v>-65126688.659999996</v>
      </c>
      <c r="C28" s="131">
        <f t="shared" si="3"/>
        <v>-44108388.20000001</v>
      </c>
      <c r="D28" s="131">
        <v>-16950332.899999999</v>
      </c>
      <c r="E28" s="131">
        <f t="shared" si="4"/>
        <v>-6439765.0700000022</v>
      </c>
      <c r="F28" s="132">
        <f t="shared" si="1"/>
        <v>-132625174.83000003</v>
      </c>
      <c r="G28" s="18"/>
    </row>
    <row r="29" spans="1:15" x14ac:dyDescent="0.3">
      <c r="A29" s="117">
        <v>43282</v>
      </c>
      <c r="B29" s="137">
        <f t="shared" si="2"/>
        <v>-65347763.659999996</v>
      </c>
      <c r="C29" s="131">
        <f t="shared" si="3"/>
        <v>-44493096.480000012</v>
      </c>
      <c r="D29" s="131">
        <v>-16950332.899999999</v>
      </c>
      <c r="E29" s="131">
        <f t="shared" si="4"/>
        <v>-6535181.2200000025</v>
      </c>
      <c r="F29" s="132">
        <f t="shared" si="1"/>
        <v>-133326374.26000002</v>
      </c>
      <c r="G29" s="18"/>
    </row>
    <row r="30" spans="1:15" x14ac:dyDescent="0.3">
      <c r="A30" s="117">
        <v>43314</v>
      </c>
      <c r="B30" s="137">
        <f t="shared" si="2"/>
        <v>-65568838.659999996</v>
      </c>
      <c r="C30" s="131">
        <f t="shared" si="3"/>
        <v>-44877804.760000013</v>
      </c>
      <c r="D30" s="131">
        <v>-16950332.899999999</v>
      </c>
      <c r="E30" s="131">
        <f t="shared" si="4"/>
        <v>-6630597.3700000029</v>
      </c>
      <c r="F30" s="132">
        <f t="shared" si="1"/>
        <v>-134027573.69000003</v>
      </c>
      <c r="G30" s="18"/>
    </row>
    <row r="31" spans="1:15" x14ac:dyDescent="0.3">
      <c r="A31" s="117">
        <v>43346</v>
      </c>
      <c r="B31" s="137">
        <f t="shared" si="2"/>
        <v>-65789913.659999996</v>
      </c>
      <c r="C31" s="131">
        <f t="shared" si="3"/>
        <v>-45262513.040000014</v>
      </c>
      <c r="D31" s="131">
        <v>-16950332.899999999</v>
      </c>
      <c r="E31" s="131">
        <f t="shared" si="4"/>
        <v>-6726013.5200000033</v>
      </c>
      <c r="F31" s="132">
        <f t="shared" si="1"/>
        <v>-134728773.12000003</v>
      </c>
      <c r="G31" s="18"/>
    </row>
    <row r="32" spans="1:15" x14ac:dyDescent="0.3">
      <c r="A32" s="117">
        <v>43377</v>
      </c>
      <c r="B32" s="137">
        <f t="shared" si="2"/>
        <v>-66010988.659999996</v>
      </c>
      <c r="C32" s="131">
        <f t="shared" si="3"/>
        <v>-45647221.320000015</v>
      </c>
      <c r="D32" s="131">
        <v>-16950332.899999999</v>
      </c>
      <c r="E32" s="131">
        <f t="shared" si="4"/>
        <v>-6821429.6700000037</v>
      </c>
      <c r="F32" s="132">
        <f t="shared" si="1"/>
        <v>-135429972.55000004</v>
      </c>
      <c r="G32" s="18"/>
    </row>
    <row r="33" spans="1:249" x14ac:dyDescent="0.3">
      <c r="A33" s="117">
        <v>43410</v>
      </c>
      <c r="B33" s="137">
        <f t="shared" si="2"/>
        <v>-66232063.659999996</v>
      </c>
      <c r="C33" s="131">
        <f t="shared" si="3"/>
        <v>-46031929.600000016</v>
      </c>
      <c r="D33" s="131">
        <v>-16950332.899999999</v>
      </c>
      <c r="E33" s="131">
        <f t="shared" si="4"/>
        <v>-6916845.820000004</v>
      </c>
      <c r="F33" s="132">
        <f t="shared" si="1"/>
        <v>-136131171.98000002</v>
      </c>
      <c r="G33" s="18"/>
    </row>
    <row r="34" spans="1:249" x14ac:dyDescent="0.3">
      <c r="A34" s="117">
        <v>43441</v>
      </c>
      <c r="B34" s="138">
        <f t="shared" si="2"/>
        <v>-66453138.659999996</v>
      </c>
      <c r="C34" s="133">
        <f t="shared" si="3"/>
        <v>-46416637.880000018</v>
      </c>
      <c r="D34" s="133">
        <v>-16950332.899999999</v>
      </c>
      <c r="E34" s="133">
        <f t="shared" si="4"/>
        <v>-7012261.9700000044</v>
      </c>
      <c r="F34" s="134">
        <f t="shared" si="1"/>
        <v>-136832371.41000003</v>
      </c>
      <c r="G34" s="127" t="s">
        <v>6</v>
      </c>
    </row>
    <row r="35" spans="1:249" x14ac:dyDescent="0.3">
      <c r="A35" s="119" t="s">
        <v>254</v>
      </c>
      <c r="B35" s="135">
        <f>ROUND(((B22+B34+SUM(B23:B33)*2))/24,0)</f>
        <v>-65126689</v>
      </c>
      <c r="C35" s="135">
        <f>ROUND(((C22+C34+SUM(C23:C33)*2))/24,0)</f>
        <v>-44108388</v>
      </c>
      <c r="D35" s="135">
        <f>ROUND(((D22+D34+SUM(D23:D33)*2))/24,0)</f>
        <v>-16950333</v>
      </c>
      <c r="E35" s="135">
        <f>ROUND(((E22+E34+SUM(E23:E33)*2))/24,0)</f>
        <v>-6439765</v>
      </c>
      <c r="F35" s="136">
        <f>ROUND(((F22+F34+SUM(F23:F33)*2))/24,0)</f>
        <v>-132625175</v>
      </c>
      <c r="G35" s="127" t="s">
        <v>254</v>
      </c>
    </row>
    <row r="36" spans="1:249" ht="15" thickBot="1" x14ac:dyDescent="0.35">
      <c r="B36" s="18"/>
      <c r="C36" s="18"/>
      <c r="D36" s="18"/>
      <c r="E36" s="18"/>
      <c r="F36" s="18"/>
      <c r="G36" s="18"/>
      <c r="H36" s="70"/>
      <c r="I36" s="70"/>
      <c r="J36" s="70"/>
      <c r="K36" s="70"/>
      <c r="L36" s="70"/>
      <c r="M36" s="70"/>
      <c r="N36" s="70"/>
      <c r="O36" s="70"/>
    </row>
    <row r="37" spans="1:249" ht="16.2" thickBot="1" x14ac:dyDescent="0.4">
      <c r="A37" s="139" t="s">
        <v>275</v>
      </c>
      <c r="B37" s="140">
        <v>18230061</v>
      </c>
      <c r="C37" s="140" t="s">
        <v>274</v>
      </c>
      <c r="D37" s="141"/>
      <c r="E37" s="142"/>
      <c r="F37" s="143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  <c r="GC37" s="70"/>
      <c r="GD37" s="70"/>
      <c r="GE37" s="70"/>
      <c r="GF37" s="70"/>
      <c r="GG37" s="70"/>
      <c r="GH37" s="70"/>
      <c r="GI37" s="70"/>
      <c r="GJ37" s="70"/>
      <c r="GK37" s="70"/>
      <c r="GL37" s="70"/>
      <c r="GM37" s="70"/>
      <c r="GN37" s="70"/>
      <c r="GO37" s="70"/>
      <c r="GP37" s="70"/>
      <c r="GQ37" s="70"/>
      <c r="GR37" s="70"/>
      <c r="GS37" s="70"/>
      <c r="GT37" s="70"/>
      <c r="GU37" s="70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70"/>
      <c r="IC37" s="70"/>
      <c r="ID37" s="70"/>
      <c r="IE37" s="70"/>
      <c r="IF37" s="70"/>
      <c r="IG37" s="70"/>
      <c r="IH37" s="70"/>
      <c r="II37" s="70"/>
      <c r="IJ37" s="70"/>
      <c r="IK37" s="70"/>
      <c r="IL37" s="70"/>
      <c r="IM37" s="70"/>
      <c r="IN37" s="70"/>
      <c r="IO37" s="70"/>
    </row>
    <row r="38" spans="1:249" x14ac:dyDescent="0.3">
      <c r="A38" s="144"/>
      <c r="B38" s="145" t="s">
        <v>14</v>
      </c>
      <c r="C38" s="145" t="s">
        <v>273</v>
      </c>
      <c r="D38" s="145" t="s">
        <v>272</v>
      </c>
      <c r="E38" s="145"/>
      <c r="F38" s="146" t="s">
        <v>271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70"/>
      <c r="IC38" s="70"/>
      <c r="ID38" s="70"/>
      <c r="IE38" s="70"/>
      <c r="IF38" s="70"/>
      <c r="IG38" s="70"/>
      <c r="IH38" s="70"/>
      <c r="II38" s="70"/>
      <c r="IJ38" s="70"/>
      <c r="IK38" s="70"/>
      <c r="IL38" s="70"/>
      <c r="IM38" s="70"/>
      <c r="IN38" s="70"/>
      <c r="IO38" s="70"/>
    </row>
    <row r="39" spans="1:249" x14ac:dyDescent="0.3">
      <c r="A39" s="147">
        <v>43100</v>
      </c>
      <c r="B39" s="148">
        <v>0</v>
      </c>
      <c r="C39" s="149">
        <v>11567</v>
      </c>
      <c r="D39" s="137">
        <v>-11567</v>
      </c>
      <c r="E39" s="137"/>
      <c r="F39" s="150">
        <v>900037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  <c r="IL39" s="70"/>
      <c r="IM39" s="70"/>
      <c r="IN39" s="70"/>
      <c r="IO39" s="70"/>
    </row>
    <row r="40" spans="1:249" x14ac:dyDescent="0.3">
      <c r="A40" s="151" t="s">
        <v>270</v>
      </c>
      <c r="B40" s="148"/>
      <c r="C40" s="149"/>
      <c r="D40" s="137"/>
      <c r="E40" s="137"/>
      <c r="F40" s="15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  <c r="IJ40" s="70"/>
      <c r="IK40" s="70"/>
      <c r="IL40" s="70"/>
      <c r="IM40" s="70"/>
      <c r="IN40" s="70"/>
      <c r="IO40" s="70"/>
    </row>
    <row r="41" spans="1:249" x14ac:dyDescent="0.3">
      <c r="A41" s="117">
        <v>43101</v>
      </c>
      <c r="B41" s="148">
        <v>0</v>
      </c>
      <c r="C41" s="149">
        <v>11567</v>
      </c>
      <c r="D41" s="137">
        <v>-11567</v>
      </c>
      <c r="E41" s="137"/>
      <c r="F41" s="152">
        <f>F39+D41</f>
        <v>888470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  <c r="IL41" s="70"/>
      <c r="IM41" s="70"/>
      <c r="IN41" s="70"/>
      <c r="IO41" s="70"/>
    </row>
    <row r="42" spans="1:249" x14ac:dyDescent="0.3">
      <c r="A42" s="117">
        <v>43133</v>
      </c>
      <c r="B42" s="148">
        <v>0</v>
      </c>
      <c r="C42" s="149">
        <v>11567</v>
      </c>
      <c r="D42" s="137">
        <v>-11567</v>
      </c>
      <c r="E42" s="137"/>
      <c r="F42" s="152">
        <f t="shared" ref="F42:F52" si="5">F41+D42</f>
        <v>876903</v>
      </c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70"/>
      <c r="IC42" s="70"/>
      <c r="ID42" s="70"/>
      <c r="IE42" s="70"/>
      <c r="IF42" s="70"/>
      <c r="IG42" s="70"/>
      <c r="IH42" s="70"/>
      <c r="II42" s="70"/>
      <c r="IJ42" s="70"/>
      <c r="IK42" s="70"/>
      <c r="IL42" s="70"/>
      <c r="IM42" s="70"/>
      <c r="IN42" s="70"/>
      <c r="IO42" s="70"/>
    </row>
    <row r="43" spans="1:249" x14ac:dyDescent="0.3">
      <c r="A43" s="117">
        <v>43190</v>
      </c>
      <c r="B43" s="148">
        <v>0</v>
      </c>
      <c r="C43" s="149">
        <v>11567</v>
      </c>
      <c r="D43" s="137">
        <v>-11567</v>
      </c>
      <c r="E43" s="137"/>
      <c r="F43" s="152">
        <f t="shared" si="5"/>
        <v>865336</v>
      </c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  <c r="IL43" s="70"/>
      <c r="IM43" s="70"/>
      <c r="IN43" s="70"/>
      <c r="IO43" s="70"/>
    </row>
    <row r="44" spans="1:249" x14ac:dyDescent="0.3">
      <c r="A44" s="117">
        <v>43191</v>
      </c>
      <c r="B44" s="148">
        <v>0</v>
      </c>
      <c r="C44" s="149">
        <v>11567</v>
      </c>
      <c r="D44" s="137">
        <v>-11567</v>
      </c>
      <c r="E44" s="137"/>
      <c r="F44" s="152">
        <f t="shared" si="5"/>
        <v>853769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  <c r="IL44" s="70"/>
      <c r="IM44" s="70"/>
      <c r="IN44" s="70"/>
      <c r="IO44" s="70"/>
    </row>
    <row r="45" spans="1:249" x14ac:dyDescent="0.3">
      <c r="A45" s="117">
        <v>43222</v>
      </c>
      <c r="B45" s="148">
        <v>0</v>
      </c>
      <c r="C45" s="149">
        <v>11567</v>
      </c>
      <c r="D45" s="137">
        <v>-11567</v>
      </c>
      <c r="E45" s="137"/>
      <c r="F45" s="152">
        <f t="shared" si="5"/>
        <v>842202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  <c r="IL45" s="70"/>
      <c r="IM45" s="70"/>
      <c r="IN45" s="70"/>
      <c r="IO45" s="70"/>
    </row>
    <row r="46" spans="1:249" x14ac:dyDescent="0.3">
      <c r="A46" s="117">
        <v>43281</v>
      </c>
      <c r="B46" s="148">
        <v>0</v>
      </c>
      <c r="C46" s="149">
        <v>11567</v>
      </c>
      <c r="D46" s="137">
        <v>-11567</v>
      </c>
      <c r="E46" s="137"/>
      <c r="F46" s="152">
        <f t="shared" si="5"/>
        <v>830635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  <c r="IJ46" s="70"/>
      <c r="IK46" s="70"/>
      <c r="IL46" s="70"/>
      <c r="IM46" s="70"/>
      <c r="IN46" s="70"/>
      <c r="IO46" s="70"/>
    </row>
    <row r="47" spans="1:249" x14ac:dyDescent="0.3">
      <c r="A47" s="117">
        <v>43282</v>
      </c>
      <c r="B47" s="148">
        <v>0</v>
      </c>
      <c r="C47" s="149">
        <v>11567</v>
      </c>
      <c r="D47" s="137">
        <v>-11567</v>
      </c>
      <c r="E47" s="137"/>
      <c r="F47" s="152">
        <f t="shared" si="5"/>
        <v>819068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  <c r="IL47" s="70"/>
      <c r="IM47" s="70"/>
      <c r="IN47" s="70"/>
      <c r="IO47" s="70"/>
    </row>
    <row r="48" spans="1:249" x14ac:dyDescent="0.3">
      <c r="A48" s="117">
        <v>43314</v>
      </c>
      <c r="B48" s="148">
        <v>0</v>
      </c>
      <c r="C48" s="149">
        <v>11567</v>
      </c>
      <c r="D48" s="137">
        <v>-11567</v>
      </c>
      <c r="E48" s="137"/>
      <c r="F48" s="152">
        <f t="shared" si="5"/>
        <v>807501</v>
      </c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70"/>
      <c r="GR48" s="70"/>
      <c r="GS48" s="70"/>
      <c r="GT48" s="70"/>
      <c r="GU48" s="70"/>
      <c r="GV48" s="70"/>
      <c r="GW48" s="70"/>
      <c r="GX48" s="70"/>
      <c r="GY48" s="70"/>
      <c r="GZ48" s="70"/>
      <c r="HA48" s="70"/>
      <c r="HB48" s="70"/>
      <c r="HC48" s="70"/>
      <c r="HD48" s="70"/>
      <c r="HE48" s="70"/>
      <c r="HF48" s="70"/>
      <c r="HG48" s="70"/>
      <c r="HH48" s="70"/>
      <c r="HI48" s="70"/>
      <c r="HJ48" s="70"/>
      <c r="HK48" s="70"/>
      <c r="HL48" s="70"/>
      <c r="HM48" s="70"/>
      <c r="HN48" s="70"/>
      <c r="HO48" s="70"/>
      <c r="HP48" s="70"/>
      <c r="HQ48" s="70"/>
      <c r="HR48" s="70"/>
      <c r="HS48" s="70"/>
      <c r="HT48" s="70"/>
      <c r="HU48" s="70"/>
      <c r="HV48" s="70"/>
      <c r="HW48" s="70"/>
      <c r="HX48" s="70"/>
      <c r="HY48" s="70"/>
      <c r="HZ48" s="70"/>
      <c r="IA48" s="70"/>
      <c r="IB48" s="70"/>
      <c r="IC48" s="70"/>
      <c r="ID48" s="70"/>
      <c r="IE48" s="70"/>
      <c r="IF48" s="70"/>
      <c r="IG48" s="70"/>
      <c r="IH48" s="70"/>
      <c r="II48" s="70"/>
      <c r="IJ48" s="70"/>
      <c r="IK48" s="70"/>
      <c r="IL48" s="70"/>
      <c r="IM48" s="70"/>
      <c r="IN48" s="70"/>
      <c r="IO48" s="70"/>
    </row>
    <row r="49" spans="1:249" x14ac:dyDescent="0.3">
      <c r="A49" s="117">
        <v>43346</v>
      </c>
      <c r="B49" s="148">
        <v>0</v>
      </c>
      <c r="C49" s="149">
        <v>11567</v>
      </c>
      <c r="D49" s="137">
        <v>-11567</v>
      </c>
      <c r="E49" s="137"/>
      <c r="F49" s="152">
        <f t="shared" si="5"/>
        <v>795934</v>
      </c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70"/>
      <c r="GR49" s="70"/>
      <c r="GS49" s="70"/>
      <c r="GT49" s="70"/>
      <c r="GU49" s="70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0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0"/>
      <c r="HY49" s="70"/>
      <c r="HZ49" s="70"/>
      <c r="IA49" s="70"/>
      <c r="IB49" s="70"/>
      <c r="IC49" s="70"/>
      <c r="ID49" s="70"/>
      <c r="IE49" s="70"/>
      <c r="IF49" s="70"/>
      <c r="IG49" s="70"/>
      <c r="IH49" s="70"/>
      <c r="II49" s="70"/>
      <c r="IJ49" s="70"/>
      <c r="IK49" s="70"/>
      <c r="IL49" s="70"/>
      <c r="IM49" s="70"/>
      <c r="IN49" s="70"/>
      <c r="IO49" s="70"/>
    </row>
    <row r="50" spans="1:249" x14ac:dyDescent="0.3">
      <c r="A50" s="117">
        <v>43377</v>
      </c>
      <c r="B50" s="148">
        <v>0</v>
      </c>
      <c r="C50" s="149">
        <v>11567</v>
      </c>
      <c r="D50" s="137">
        <v>-11567</v>
      </c>
      <c r="E50" s="137"/>
      <c r="F50" s="152">
        <f t="shared" si="5"/>
        <v>784367</v>
      </c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70"/>
      <c r="FB50" s="70"/>
      <c r="FC50" s="70"/>
      <c r="FD50" s="70"/>
      <c r="FE50" s="70"/>
      <c r="FF50" s="70"/>
      <c r="FG50" s="70"/>
      <c r="FH50" s="70"/>
      <c r="FI50" s="70"/>
      <c r="FJ50" s="70"/>
      <c r="FK50" s="70"/>
      <c r="FL50" s="70"/>
      <c r="FM50" s="70"/>
      <c r="FN50" s="70"/>
      <c r="FO50" s="70"/>
      <c r="FP50" s="70"/>
      <c r="FQ50" s="70"/>
      <c r="FR50" s="70"/>
      <c r="FS50" s="70"/>
      <c r="FT50" s="70"/>
      <c r="FU50" s="70"/>
      <c r="FV50" s="70"/>
      <c r="FW50" s="70"/>
      <c r="FX50" s="70"/>
      <c r="FY50" s="70"/>
      <c r="FZ50" s="70"/>
      <c r="GA50" s="70"/>
      <c r="GB50" s="70"/>
      <c r="GC50" s="70"/>
      <c r="GD50" s="70"/>
      <c r="GE50" s="70"/>
      <c r="GF50" s="70"/>
      <c r="GG50" s="70"/>
      <c r="GH50" s="70"/>
      <c r="GI50" s="70"/>
      <c r="GJ50" s="70"/>
      <c r="GK50" s="70"/>
      <c r="GL50" s="70"/>
      <c r="GM50" s="70"/>
      <c r="GN50" s="70"/>
      <c r="GO50" s="70"/>
      <c r="GP50" s="70"/>
      <c r="GQ50" s="70"/>
      <c r="GR50" s="70"/>
      <c r="GS50" s="70"/>
      <c r="GT50" s="70"/>
      <c r="GU50" s="70"/>
      <c r="GV50" s="70"/>
      <c r="GW50" s="70"/>
      <c r="GX50" s="70"/>
      <c r="GY50" s="70"/>
      <c r="GZ50" s="70"/>
      <c r="HA50" s="70"/>
      <c r="HB50" s="70"/>
      <c r="HC50" s="70"/>
      <c r="HD50" s="70"/>
      <c r="HE50" s="70"/>
      <c r="HF50" s="70"/>
      <c r="HG50" s="70"/>
      <c r="HH50" s="70"/>
      <c r="HI50" s="70"/>
      <c r="HJ50" s="70"/>
      <c r="HK50" s="70"/>
      <c r="HL50" s="70"/>
      <c r="HM50" s="70"/>
      <c r="HN50" s="70"/>
      <c r="HO50" s="70"/>
      <c r="HP50" s="70"/>
      <c r="HQ50" s="70"/>
      <c r="HR50" s="70"/>
      <c r="HS50" s="70"/>
      <c r="HT50" s="70"/>
      <c r="HU50" s="70"/>
      <c r="HV50" s="70"/>
      <c r="HW50" s="70"/>
      <c r="HX50" s="70"/>
      <c r="HY50" s="70"/>
      <c r="HZ50" s="70"/>
      <c r="IA50" s="70"/>
      <c r="IB50" s="70"/>
      <c r="IC50" s="70"/>
      <c r="ID50" s="70"/>
      <c r="IE50" s="70"/>
      <c r="IF50" s="70"/>
      <c r="IG50" s="70"/>
      <c r="IH50" s="70"/>
      <c r="II50" s="70"/>
      <c r="IJ50" s="70"/>
      <c r="IK50" s="70"/>
      <c r="IL50" s="70"/>
      <c r="IM50" s="70"/>
      <c r="IN50" s="70"/>
      <c r="IO50" s="70"/>
    </row>
    <row r="51" spans="1:249" x14ac:dyDescent="0.3">
      <c r="A51" s="117">
        <v>43410</v>
      </c>
      <c r="B51" s="148">
        <v>0</v>
      </c>
      <c r="C51" s="149">
        <v>11567</v>
      </c>
      <c r="D51" s="137">
        <v>-11567</v>
      </c>
      <c r="E51" s="137"/>
      <c r="F51" s="152">
        <f t="shared" si="5"/>
        <v>772800</v>
      </c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70"/>
      <c r="GR51" s="70"/>
      <c r="GS51" s="70"/>
      <c r="GT51" s="70"/>
      <c r="GU51" s="70"/>
      <c r="GV51" s="70"/>
      <c r="GW51" s="70"/>
      <c r="GX51" s="70"/>
      <c r="GY51" s="70"/>
      <c r="GZ51" s="70"/>
      <c r="HA51" s="70"/>
      <c r="HB51" s="70"/>
      <c r="HC51" s="70"/>
      <c r="HD51" s="70"/>
      <c r="HE51" s="70"/>
      <c r="HF51" s="70"/>
      <c r="HG51" s="70"/>
      <c r="HH51" s="70"/>
      <c r="HI51" s="70"/>
      <c r="HJ51" s="70"/>
      <c r="HK51" s="70"/>
      <c r="HL51" s="70"/>
      <c r="HM51" s="70"/>
      <c r="HN51" s="70"/>
      <c r="HO51" s="70"/>
      <c r="HP51" s="70"/>
      <c r="HQ51" s="70"/>
      <c r="HR51" s="70"/>
      <c r="HS51" s="70"/>
      <c r="HT51" s="70"/>
      <c r="HU51" s="70"/>
      <c r="HV51" s="70"/>
      <c r="HW51" s="70"/>
      <c r="HX51" s="70"/>
      <c r="HY51" s="70"/>
      <c r="HZ51" s="70"/>
      <c r="IA51" s="70"/>
      <c r="IB51" s="70"/>
      <c r="IC51" s="70"/>
      <c r="ID51" s="70"/>
      <c r="IE51" s="70"/>
      <c r="IF51" s="70"/>
      <c r="IG51" s="70"/>
      <c r="IH51" s="70"/>
      <c r="II51" s="70"/>
      <c r="IJ51" s="70"/>
      <c r="IK51" s="70"/>
      <c r="IL51" s="70"/>
      <c r="IM51" s="70"/>
      <c r="IN51" s="70"/>
      <c r="IO51" s="70"/>
    </row>
    <row r="52" spans="1:249" x14ac:dyDescent="0.3">
      <c r="A52" s="117">
        <v>43441</v>
      </c>
      <c r="B52" s="148">
        <v>0</v>
      </c>
      <c r="C52" s="149">
        <v>11567</v>
      </c>
      <c r="D52" s="138">
        <v>-11567</v>
      </c>
      <c r="E52" s="138"/>
      <c r="F52" s="153">
        <f t="shared" si="5"/>
        <v>761233</v>
      </c>
      <c r="G52" s="154">
        <v>0.75149999999999995</v>
      </c>
      <c r="H52" s="24">
        <f>F52*G52</f>
        <v>572066.59950000001</v>
      </c>
      <c r="I52" s="70" t="s">
        <v>6</v>
      </c>
      <c r="J52" s="71" t="s">
        <v>269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  <c r="FQ52" s="70"/>
      <c r="FR52" s="70"/>
      <c r="FS52" s="70"/>
      <c r="FT52" s="70"/>
      <c r="FU52" s="70"/>
      <c r="FV52" s="70"/>
      <c r="FW52" s="70"/>
      <c r="FX52" s="70"/>
      <c r="FY52" s="70"/>
      <c r="FZ52" s="70"/>
      <c r="GA52" s="70"/>
      <c r="GB52" s="70"/>
      <c r="GC52" s="70"/>
      <c r="GD52" s="70"/>
      <c r="GE52" s="70"/>
      <c r="GF52" s="70"/>
      <c r="GG52" s="70"/>
      <c r="GH52" s="70"/>
      <c r="GI52" s="70"/>
      <c r="GJ52" s="70"/>
      <c r="GK52" s="70"/>
      <c r="GL52" s="70"/>
      <c r="GM52" s="70"/>
      <c r="GN52" s="70"/>
      <c r="GO52" s="70"/>
      <c r="GP52" s="70"/>
      <c r="GQ52" s="70"/>
      <c r="GR52" s="70"/>
      <c r="GS52" s="70"/>
      <c r="GT52" s="70"/>
      <c r="GU52" s="70"/>
      <c r="GV52" s="70"/>
      <c r="GW52" s="70"/>
      <c r="GX52" s="70"/>
      <c r="GY52" s="70"/>
      <c r="GZ52" s="70"/>
      <c r="HA52" s="70"/>
      <c r="HB52" s="70"/>
      <c r="HC52" s="70"/>
      <c r="HD52" s="70"/>
      <c r="HE52" s="70"/>
      <c r="HF52" s="70"/>
      <c r="HG52" s="70"/>
      <c r="HH52" s="70"/>
      <c r="HI52" s="70"/>
      <c r="HJ52" s="70"/>
      <c r="HK52" s="70"/>
      <c r="HL52" s="70"/>
      <c r="HM52" s="70"/>
      <c r="HN52" s="70"/>
      <c r="HO52" s="70"/>
      <c r="HP52" s="70"/>
      <c r="HQ52" s="70"/>
      <c r="HR52" s="70"/>
      <c r="HS52" s="70"/>
      <c r="HT52" s="70"/>
      <c r="HU52" s="70"/>
      <c r="HV52" s="70"/>
      <c r="HW52" s="70"/>
      <c r="HX52" s="70"/>
      <c r="HY52" s="70"/>
      <c r="HZ52" s="70"/>
      <c r="IA52" s="70"/>
      <c r="IB52" s="70"/>
      <c r="IC52" s="70"/>
      <c r="ID52" s="70"/>
      <c r="IE52" s="70"/>
      <c r="IF52" s="70"/>
      <c r="IG52" s="70"/>
      <c r="IH52" s="70"/>
      <c r="II52" s="70"/>
      <c r="IJ52" s="70"/>
      <c r="IK52" s="70"/>
      <c r="IL52" s="70"/>
      <c r="IM52" s="70"/>
      <c r="IN52" s="70"/>
      <c r="IO52" s="70"/>
    </row>
    <row r="53" spans="1:249" ht="15" thickBot="1" x14ac:dyDescent="0.35">
      <c r="A53" s="155" t="s">
        <v>467</v>
      </c>
      <c r="B53" s="156"/>
      <c r="C53" s="156"/>
      <c r="D53" s="137">
        <f>SUM(D41:D52)</f>
        <v>-138804</v>
      </c>
      <c r="E53" s="137"/>
      <c r="F53" s="157">
        <f>((F39+F52+(SUM(F41:F51)*2))/24)</f>
        <v>830635</v>
      </c>
      <c r="G53" s="154">
        <v>0.75149999999999995</v>
      </c>
      <c r="H53" s="158">
        <f>F53*G53</f>
        <v>624222.2024999999</v>
      </c>
      <c r="I53" s="127" t="s">
        <v>254</v>
      </c>
      <c r="J53" s="71" t="s">
        <v>269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70"/>
      <c r="FO53" s="70"/>
      <c r="FP53" s="70"/>
      <c r="FQ53" s="70"/>
      <c r="FR53" s="70"/>
      <c r="FS53" s="70"/>
      <c r="FT53" s="70"/>
      <c r="FU53" s="70"/>
      <c r="FV53" s="70"/>
      <c r="FW53" s="70"/>
      <c r="FX53" s="70"/>
      <c r="FY53" s="70"/>
      <c r="FZ53" s="70"/>
      <c r="GA53" s="70"/>
      <c r="GB53" s="70"/>
      <c r="GC53" s="70"/>
      <c r="GD53" s="70"/>
      <c r="GE53" s="70"/>
      <c r="GF53" s="70"/>
      <c r="GG53" s="70"/>
      <c r="GH53" s="70"/>
      <c r="GI53" s="70"/>
      <c r="GJ53" s="70"/>
      <c r="GK53" s="70"/>
      <c r="GL53" s="70"/>
      <c r="GM53" s="70"/>
      <c r="GN53" s="70"/>
      <c r="GO53" s="70"/>
      <c r="GP53" s="70"/>
      <c r="GQ53" s="70"/>
      <c r="GR53" s="70"/>
      <c r="GS53" s="70"/>
      <c r="GT53" s="70"/>
      <c r="GU53" s="70"/>
      <c r="GV53" s="70"/>
      <c r="GW53" s="70"/>
      <c r="GX53" s="70"/>
      <c r="GY53" s="70"/>
      <c r="GZ53" s="70"/>
      <c r="HA53" s="70"/>
      <c r="HB53" s="70"/>
      <c r="HC53" s="70"/>
      <c r="HD53" s="70"/>
      <c r="HE53" s="70"/>
      <c r="HF53" s="70"/>
      <c r="HG53" s="70"/>
      <c r="HH53" s="70"/>
      <c r="HI53" s="70"/>
      <c r="HJ53" s="70"/>
      <c r="HK53" s="70"/>
      <c r="HL53" s="70"/>
      <c r="HM53" s="70"/>
      <c r="HN53" s="70"/>
      <c r="HO53" s="70"/>
      <c r="HP53" s="70"/>
      <c r="HQ53" s="70"/>
      <c r="HR53" s="70"/>
      <c r="HS53" s="70"/>
      <c r="HT53" s="70"/>
      <c r="HU53" s="70"/>
      <c r="HV53" s="70"/>
      <c r="HW53" s="70"/>
      <c r="HX53" s="70"/>
      <c r="HY53" s="70"/>
      <c r="HZ53" s="70"/>
      <c r="IA53" s="70"/>
      <c r="IB53" s="70"/>
      <c r="IC53" s="70"/>
      <c r="ID53" s="70"/>
      <c r="IE53" s="70"/>
      <c r="IF53" s="70"/>
      <c r="IG53" s="70"/>
      <c r="IH53" s="70"/>
      <c r="II53" s="70"/>
      <c r="IJ53" s="70"/>
      <c r="IK53" s="70"/>
      <c r="IL53" s="70"/>
      <c r="IM53" s="70"/>
      <c r="IN53" s="70"/>
      <c r="IO53" s="70"/>
    </row>
    <row r="54" spans="1:249" x14ac:dyDescent="0.3">
      <c r="A54" s="155" t="s">
        <v>268</v>
      </c>
      <c r="B54" s="156"/>
      <c r="C54" s="156"/>
      <c r="D54" s="159">
        <v>0.2485</v>
      </c>
      <c r="E54" s="159"/>
      <c r="F54" s="160">
        <v>0.2485</v>
      </c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0"/>
      <c r="ES54" s="70"/>
      <c r="ET54" s="70"/>
      <c r="EU54" s="70"/>
      <c r="EV54" s="70"/>
      <c r="EW54" s="70"/>
      <c r="EX54" s="70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0"/>
      <c r="FJ54" s="70"/>
      <c r="FK54" s="70"/>
      <c r="FL54" s="70"/>
      <c r="FM54" s="70"/>
      <c r="FN54" s="70"/>
      <c r="FO54" s="70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0"/>
      <c r="GA54" s="70"/>
      <c r="GB54" s="70"/>
      <c r="GC54" s="70"/>
      <c r="GD54" s="70"/>
      <c r="GE54" s="70"/>
      <c r="GF54" s="70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70"/>
      <c r="GR54" s="70"/>
      <c r="GS54" s="70"/>
      <c r="GT54" s="70"/>
      <c r="GU54" s="70"/>
      <c r="GV54" s="70"/>
      <c r="GW54" s="70"/>
      <c r="GX54" s="70"/>
      <c r="GY54" s="70"/>
      <c r="GZ54" s="70"/>
      <c r="HA54" s="70"/>
      <c r="HB54" s="70"/>
      <c r="HC54" s="70"/>
      <c r="HD54" s="70"/>
      <c r="HE54" s="70"/>
      <c r="HF54" s="70"/>
      <c r="HG54" s="70"/>
      <c r="HH54" s="70"/>
      <c r="HI54" s="70"/>
      <c r="HJ54" s="70"/>
      <c r="HK54" s="70"/>
      <c r="HL54" s="70"/>
      <c r="HM54" s="70"/>
      <c r="HN54" s="70"/>
      <c r="HO54" s="70"/>
      <c r="HP54" s="70"/>
      <c r="HQ54" s="70"/>
      <c r="HR54" s="70"/>
      <c r="HS54" s="70"/>
      <c r="HT54" s="70"/>
      <c r="HU54" s="70"/>
      <c r="HV54" s="70"/>
      <c r="HW54" s="70"/>
      <c r="HX54" s="70"/>
      <c r="HY54" s="70"/>
      <c r="HZ54" s="70"/>
      <c r="IA54" s="70"/>
      <c r="IB54" s="70"/>
      <c r="IC54" s="70"/>
      <c r="ID54" s="70"/>
      <c r="IE54" s="70"/>
      <c r="IF54" s="70"/>
      <c r="IG54" s="70"/>
      <c r="IH54" s="70"/>
      <c r="II54" s="70"/>
      <c r="IJ54" s="70"/>
      <c r="IK54" s="70"/>
      <c r="IL54" s="70"/>
      <c r="IM54" s="70"/>
      <c r="IN54" s="70"/>
      <c r="IO54" s="70"/>
    </row>
    <row r="55" spans="1:249" ht="15" thickBot="1" x14ac:dyDescent="0.35">
      <c r="A55" s="161"/>
      <c r="B55" s="162"/>
      <c r="C55" s="162"/>
      <c r="D55" s="163">
        <f>D53*D54</f>
        <v>-34492.794000000002</v>
      </c>
      <c r="E55" s="163"/>
      <c r="F55" s="164">
        <f>F53*F54</f>
        <v>206412.79749999999</v>
      </c>
      <c r="G55" s="70" t="s">
        <v>254</v>
      </c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  <c r="EN55" s="70"/>
      <c r="EO55" s="70"/>
      <c r="EP55" s="70"/>
      <c r="EQ55" s="70"/>
      <c r="ER55" s="70"/>
      <c r="ES55" s="70"/>
      <c r="ET55" s="70"/>
      <c r="EU55" s="70"/>
      <c r="EV55" s="70"/>
      <c r="EW55" s="70"/>
      <c r="EX55" s="70"/>
      <c r="EY55" s="70"/>
      <c r="EZ55" s="70"/>
      <c r="FA55" s="70"/>
      <c r="FB55" s="70"/>
      <c r="FC55" s="70"/>
      <c r="FD55" s="70"/>
      <c r="FE55" s="70"/>
      <c r="FF55" s="70"/>
      <c r="FG55" s="70"/>
      <c r="FH55" s="70"/>
      <c r="FI55" s="70"/>
      <c r="FJ55" s="70"/>
      <c r="FK55" s="70"/>
      <c r="FL55" s="70"/>
      <c r="FM55" s="70"/>
      <c r="FN55" s="70"/>
      <c r="FO55" s="70"/>
      <c r="FP55" s="70"/>
      <c r="FQ55" s="70"/>
      <c r="FR55" s="70"/>
      <c r="FS55" s="70"/>
      <c r="FT55" s="70"/>
      <c r="FU55" s="70"/>
      <c r="FV55" s="70"/>
      <c r="FW55" s="70"/>
      <c r="FX55" s="70"/>
      <c r="FY55" s="70"/>
      <c r="FZ55" s="70"/>
      <c r="GA55" s="70"/>
      <c r="GB55" s="70"/>
      <c r="GC55" s="70"/>
      <c r="GD55" s="70"/>
      <c r="GE55" s="70"/>
      <c r="GF55" s="70"/>
      <c r="GG55" s="70"/>
      <c r="GH55" s="70"/>
      <c r="GI55" s="70"/>
      <c r="GJ55" s="70"/>
      <c r="GK55" s="70"/>
      <c r="GL55" s="70"/>
      <c r="GM55" s="70"/>
      <c r="GN55" s="70"/>
      <c r="GO55" s="70"/>
      <c r="GP55" s="70"/>
      <c r="GQ55" s="70"/>
      <c r="GR55" s="70"/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0"/>
      <c r="HG55" s="70"/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0"/>
      <c r="HV55" s="70"/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0"/>
      <c r="IK55" s="70"/>
      <c r="IL55" s="70"/>
      <c r="IM55" s="70"/>
      <c r="IN55" s="70"/>
      <c r="IO55" s="70"/>
    </row>
    <row r="56" spans="1:249" x14ac:dyDescent="0.3">
      <c r="F56" s="165">
        <f>F52*F54</f>
        <v>189166.40049999999</v>
      </c>
      <c r="G56" s="127" t="s">
        <v>6</v>
      </c>
    </row>
    <row r="58" spans="1:249" x14ac:dyDescent="0.3">
      <c r="A58" s="69"/>
      <c r="B58" s="69"/>
      <c r="C58" s="69"/>
      <c r="D58" s="69"/>
    </row>
    <row r="59" spans="1:249" x14ac:dyDescent="0.3">
      <c r="A59" s="69"/>
      <c r="B59" s="69"/>
      <c r="C59" s="69"/>
      <c r="D59" s="69"/>
      <c r="F59" s="154"/>
    </row>
    <row r="60" spans="1:249" x14ac:dyDescent="0.3">
      <c r="A60" s="69"/>
      <c r="B60" s="69"/>
      <c r="C60" s="69"/>
      <c r="D60" s="69"/>
    </row>
    <row r="61" spans="1:249" x14ac:dyDescent="0.3">
      <c r="A61" s="69"/>
      <c r="B61" s="69"/>
      <c r="C61" s="69"/>
      <c r="D61" s="69"/>
    </row>
    <row r="62" spans="1:249" x14ac:dyDescent="0.3">
      <c r="A62" s="69"/>
      <c r="B62" s="69"/>
      <c r="C62" s="69"/>
      <c r="D62" s="69"/>
    </row>
  </sheetData>
  <mergeCells count="3">
    <mergeCell ref="A1:F1"/>
    <mergeCell ref="A2:F2"/>
    <mergeCell ref="A19:F1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sqref="A1:XFD1048576"/>
    </sheetView>
  </sheetViews>
  <sheetFormatPr defaultColWidth="9.109375" defaultRowHeight="13.2" x14ac:dyDescent="0.25"/>
  <cols>
    <col min="1" max="1" width="20.6640625" style="70" customWidth="1"/>
    <col min="2" max="2" width="24.44140625" style="70" bestFit="1" customWidth="1"/>
    <col min="3" max="3" width="13.109375" style="121" bestFit="1" customWidth="1"/>
    <col min="4" max="4" width="9" style="70" bestFit="1" customWidth="1"/>
    <col min="5" max="5" width="25.109375" style="70" customWidth="1"/>
    <col min="6" max="6" width="7.33203125" style="70" bestFit="1" customWidth="1"/>
    <col min="7" max="7" width="8.88671875" style="70" bestFit="1" customWidth="1"/>
    <col min="8" max="16384" width="9.109375" style="70"/>
  </cols>
  <sheetData>
    <row r="1" spans="1:7" ht="13.8" x14ac:dyDescent="0.25">
      <c r="A1" s="20" t="s">
        <v>295</v>
      </c>
    </row>
    <row r="2" spans="1:7" x14ac:dyDescent="0.25">
      <c r="A2" s="70" t="s">
        <v>294</v>
      </c>
      <c r="B2" s="70" t="s">
        <v>293</v>
      </c>
      <c r="C2" s="121" t="s">
        <v>292</v>
      </c>
      <c r="D2" s="70" t="s">
        <v>291</v>
      </c>
      <c r="E2" s="70" t="s">
        <v>290</v>
      </c>
    </row>
    <row r="3" spans="1:7" x14ac:dyDescent="0.25">
      <c r="A3" s="70" t="s">
        <v>289</v>
      </c>
    </row>
    <row r="4" spans="1:7" x14ac:dyDescent="0.25">
      <c r="A4" s="122">
        <v>43101</v>
      </c>
      <c r="B4" s="70" t="s">
        <v>286</v>
      </c>
      <c r="C4" s="121">
        <v>11567</v>
      </c>
      <c r="D4" s="70">
        <v>18230061</v>
      </c>
      <c r="E4" s="70" t="s">
        <v>274</v>
      </c>
    </row>
    <row r="5" spans="1:7" x14ac:dyDescent="0.25">
      <c r="A5" s="122">
        <v>43133</v>
      </c>
      <c r="B5" s="70" t="s">
        <v>286</v>
      </c>
      <c r="C5" s="121">
        <v>11567</v>
      </c>
      <c r="D5" s="70">
        <v>18230061</v>
      </c>
      <c r="E5" s="70" t="s">
        <v>274</v>
      </c>
    </row>
    <row r="6" spans="1:7" x14ac:dyDescent="0.25">
      <c r="A6" s="122">
        <v>43190</v>
      </c>
      <c r="B6" s="70" t="s">
        <v>286</v>
      </c>
      <c r="C6" s="121">
        <v>11567</v>
      </c>
      <c r="D6" s="70">
        <v>18230061</v>
      </c>
      <c r="E6" s="70" t="s">
        <v>274</v>
      </c>
    </row>
    <row r="7" spans="1:7" x14ac:dyDescent="0.25">
      <c r="A7" s="122">
        <v>43191</v>
      </c>
      <c r="B7" s="70" t="s">
        <v>286</v>
      </c>
      <c r="C7" s="121">
        <v>11567</v>
      </c>
      <c r="D7" s="70">
        <v>18230061</v>
      </c>
      <c r="E7" s="70" t="s">
        <v>274</v>
      </c>
    </row>
    <row r="8" spans="1:7" x14ac:dyDescent="0.25">
      <c r="A8" s="122">
        <v>43222</v>
      </c>
      <c r="B8" s="70" t="s">
        <v>286</v>
      </c>
      <c r="C8" s="121">
        <v>11567</v>
      </c>
      <c r="D8" s="70">
        <v>18230061</v>
      </c>
      <c r="E8" s="70" t="s">
        <v>274</v>
      </c>
    </row>
    <row r="9" spans="1:7" x14ac:dyDescent="0.25">
      <c r="A9" s="122">
        <v>43281</v>
      </c>
      <c r="B9" s="70" t="s">
        <v>286</v>
      </c>
      <c r="C9" s="121">
        <v>11567</v>
      </c>
      <c r="D9" s="70">
        <v>18230061</v>
      </c>
      <c r="E9" s="70" t="s">
        <v>274</v>
      </c>
    </row>
    <row r="10" spans="1:7" x14ac:dyDescent="0.25">
      <c r="A10" s="122">
        <v>43282</v>
      </c>
      <c r="B10" s="70" t="s">
        <v>286</v>
      </c>
      <c r="C10" s="121">
        <v>11567</v>
      </c>
      <c r="D10" s="70">
        <v>18230061</v>
      </c>
      <c r="E10" s="70" t="s">
        <v>274</v>
      </c>
    </row>
    <row r="11" spans="1:7" x14ac:dyDescent="0.25">
      <c r="A11" s="122">
        <v>43314</v>
      </c>
      <c r="B11" s="70" t="s">
        <v>286</v>
      </c>
      <c r="C11" s="121">
        <v>11567</v>
      </c>
      <c r="D11" s="70">
        <v>18230061</v>
      </c>
      <c r="E11" s="70" t="s">
        <v>274</v>
      </c>
    </row>
    <row r="12" spans="1:7" x14ac:dyDescent="0.25">
      <c r="A12" s="122">
        <v>43346</v>
      </c>
      <c r="B12" s="70" t="s">
        <v>286</v>
      </c>
      <c r="C12" s="121">
        <v>11567</v>
      </c>
      <c r="D12" s="70">
        <v>18230061</v>
      </c>
      <c r="E12" s="70" t="s">
        <v>274</v>
      </c>
    </row>
    <row r="13" spans="1:7" x14ac:dyDescent="0.25">
      <c r="A13" s="122">
        <v>43377</v>
      </c>
      <c r="B13" s="70" t="s">
        <v>286</v>
      </c>
      <c r="C13" s="121">
        <v>11567</v>
      </c>
      <c r="D13" s="70">
        <v>18230061</v>
      </c>
      <c r="E13" s="70" t="s">
        <v>274</v>
      </c>
    </row>
    <row r="14" spans="1:7" x14ac:dyDescent="0.25">
      <c r="A14" s="122">
        <v>43410</v>
      </c>
      <c r="B14" s="70" t="s">
        <v>286</v>
      </c>
      <c r="C14" s="121">
        <v>11567</v>
      </c>
      <c r="D14" s="70">
        <v>18230061</v>
      </c>
      <c r="E14" s="70" t="s">
        <v>274</v>
      </c>
    </row>
    <row r="15" spans="1:7" ht="13.8" thickBot="1" x14ac:dyDescent="0.3">
      <c r="A15" s="122">
        <v>43441</v>
      </c>
      <c r="B15" s="70" t="s">
        <v>286</v>
      </c>
      <c r="C15" s="121">
        <v>11567</v>
      </c>
      <c r="D15" s="70">
        <v>18230061</v>
      </c>
      <c r="E15" s="70" t="s">
        <v>274</v>
      </c>
    </row>
    <row r="16" spans="1:7" ht="13.8" thickBot="1" x14ac:dyDescent="0.3">
      <c r="B16" s="70" t="s">
        <v>150</v>
      </c>
      <c r="C16" s="123">
        <f>SUM(C4:C15)</f>
        <v>138804</v>
      </c>
      <c r="E16" s="124" t="s">
        <v>288</v>
      </c>
      <c r="F16" s="125">
        <v>0.75149999999999995</v>
      </c>
      <c r="G16" s="126">
        <f>C16*F16</f>
        <v>104311.20599999999</v>
      </c>
    </row>
    <row r="17" spans="1:5" ht="13.8" thickTop="1" x14ac:dyDescent="0.25">
      <c r="A17" s="70" t="s">
        <v>287</v>
      </c>
    </row>
    <row r="18" spans="1:5" x14ac:dyDescent="0.25">
      <c r="A18" s="122">
        <v>43101</v>
      </c>
      <c r="B18" s="70" t="s">
        <v>286</v>
      </c>
      <c r="C18" s="121">
        <v>221075</v>
      </c>
      <c r="D18" s="70">
        <v>11500031</v>
      </c>
      <c r="E18" s="70" t="s">
        <v>285</v>
      </c>
    </row>
    <row r="19" spans="1:5" x14ac:dyDescent="0.25">
      <c r="A19" s="122">
        <v>43133</v>
      </c>
      <c r="B19" s="70" t="s">
        <v>286</v>
      </c>
      <c r="C19" s="121">
        <v>221075</v>
      </c>
      <c r="D19" s="70">
        <v>11500031</v>
      </c>
      <c r="E19" s="70" t="s">
        <v>285</v>
      </c>
    </row>
    <row r="20" spans="1:5" x14ac:dyDescent="0.25">
      <c r="A20" s="122">
        <v>43190</v>
      </c>
      <c r="B20" s="70" t="s">
        <v>286</v>
      </c>
      <c r="C20" s="121">
        <v>221075</v>
      </c>
      <c r="D20" s="70">
        <v>11500031</v>
      </c>
      <c r="E20" s="70" t="s">
        <v>285</v>
      </c>
    </row>
    <row r="21" spans="1:5" x14ac:dyDescent="0.25">
      <c r="A21" s="122">
        <v>43191</v>
      </c>
      <c r="B21" s="70" t="s">
        <v>286</v>
      </c>
      <c r="C21" s="121">
        <v>221075</v>
      </c>
      <c r="D21" s="70">
        <v>11500031</v>
      </c>
      <c r="E21" s="70" t="s">
        <v>285</v>
      </c>
    </row>
    <row r="22" spans="1:5" x14ac:dyDescent="0.25">
      <c r="A22" s="122">
        <v>43222</v>
      </c>
      <c r="B22" s="70" t="s">
        <v>286</v>
      </c>
      <c r="C22" s="121">
        <v>221075</v>
      </c>
      <c r="D22" s="70">
        <v>11500031</v>
      </c>
      <c r="E22" s="70" t="s">
        <v>285</v>
      </c>
    </row>
    <row r="23" spans="1:5" x14ac:dyDescent="0.25">
      <c r="A23" s="122">
        <v>43281</v>
      </c>
      <c r="B23" s="70" t="s">
        <v>286</v>
      </c>
      <c r="C23" s="121">
        <v>221075</v>
      </c>
      <c r="D23" s="70">
        <v>11500031</v>
      </c>
      <c r="E23" s="70" t="s">
        <v>285</v>
      </c>
    </row>
    <row r="24" spans="1:5" x14ac:dyDescent="0.25">
      <c r="A24" s="122">
        <v>43282</v>
      </c>
      <c r="B24" s="70" t="s">
        <v>286</v>
      </c>
      <c r="C24" s="121">
        <v>221075</v>
      </c>
      <c r="D24" s="70">
        <v>11500031</v>
      </c>
      <c r="E24" s="70" t="s">
        <v>285</v>
      </c>
    </row>
    <row r="25" spans="1:5" x14ac:dyDescent="0.25">
      <c r="A25" s="122">
        <v>43314</v>
      </c>
      <c r="B25" s="70" t="s">
        <v>286</v>
      </c>
      <c r="C25" s="121">
        <v>221075</v>
      </c>
      <c r="D25" s="70">
        <v>11500031</v>
      </c>
      <c r="E25" s="70" t="s">
        <v>285</v>
      </c>
    </row>
    <row r="26" spans="1:5" x14ac:dyDescent="0.25">
      <c r="A26" s="122">
        <v>43346</v>
      </c>
      <c r="B26" s="70" t="s">
        <v>286</v>
      </c>
      <c r="C26" s="121">
        <v>221075</v>
      </c>
      <c r="D26" s="70">
        <v>11500031</v>
      </c>
      <c r="E26" s="70" t="s">
        <v>285</v>
      </c>
    </row>
    <row r="27" spans="1:5" x14ac:dyDescent="0.25">
      <c r="A27" s="122">
        <v>43377</v>
      </c>
      <c r="B27" s="70" t="s">
        <v>286</v>
      </c>
      <c r="C27" s="121">
        <v>221075</v>
      </c>
      <c r="D27" s="70">
        <v>11500031</v>
      </c>
      <c r="E27" s="70" t="s">
        <v>285</v>
      </c>
    </row>
    <row r="28" spans="1:5" x14ac:dyDescent="0.25">
      <c r="A28" s="122">
        <v>43410</v>
      </c>
      <c r="B28" s="70" t="s">
        <v>286</v>
      </c>
      <c r="C28" s="121">
        <v>221075</v>
      </c>
      <c r="D28" s="70">
        <v>11500031</v>
      </c>
      <c r="E28" s="70" t="s">
        <v>285</v>
      </c>
    </row>
    <row r="29" spans="1:5" x14ac:dyDescent="0.25">
      <c r="A29" s="122">
        <v>43441</v>
      </c>
      <c r="B29" s="70" t="s">
        <v>286</v>
      </c>
      <c r="C29" s="121">
        <v>221075</v>
      </c>
      <c r="D29" s="70">
        <v>11500031</v>
      </c>
      <c r="E29" s="70" t="s">
        <v>285</v>
      </c>
    </row>
    <row r="30" spans="1:5" ht="13.8" thickBot="1" x14ac:dyDescent="0.3">
      <c r="B30" s="70" t="s">
        <v>150</v>
      </c>
      <c r="C30" s="123">
        <f>SUM(C18:C29)</f>
        <v>2652900</v>
      </c>
    </row>
    <row r="31" spans="1:5" ht="13.8" thickTop="1" x14ac:dyDescent="0.25">
      <c r="A31" s="70" t="s">
        <v>284</v>
      </c>
    </row>
    <row r="32" spans="1:5" x14ac:dyDescent="0.25">
      <c r="A32" s="122">
        <v>43101</v>
      </c>
      <c r="B32" s="70" t="s">
        <v>280</v>
      </c>
      <c r="C32" s="121">
        <v>384708.28</v>
      </c>
      <c r="D32" s="70">
        <v>11500041</v>
      </c>
      <c r="E32" s="70" t="s">
        <v>283</v>
      </c>
    </row>
    <row r="33" spans="1:5" x14ac:dyDescent="0.25">
      <c r="A33" s="122">
        <v>43133</v>
      </c>
      <c r="B33" s="70" t="s">
        <v>280</v>
      </c>
      <c r="C33" s="121">
        <v>384708.28</v>
      </c>
      <c r="D33" s="70">
        <v>11500041</v>
      </c>
      <c r="E33" s="70" t="s">
        <v>283</v>
      </c>
    </row>
    <row r="34" spans="1:5" x14ac:dyDescent="0.25">
      <c r="A34" s="122">
        <v>43190</v>
      </c>
      <c r="B34" s="70" t="s">
        <v>280</v>
      </c>
      <c r="C34" s="121">
        <v>384708.28</v>
      </c>
      <c r="D34" s="70">
        <v>11500041</v>
      </c>
      <c r="E34" s="70" t="s">
        <v>283</v>
      </c>
    </row>
    <row r="35" spans="1:5" x14ac:dyDescent="0.25">
      <c r="A35" s="122">
        <v>43191</v>
      </c>
      <c r="B35" s="70" t="s">
        <v>280</v>
      </c>
      <c r="C35" s="121">
        <v>384708.28</v>
      </c>
      <c r="D35" s="70">
        <v>11500041</v>
      </c>
      <c r="E35" s="70" t="s">
        <v>283</v>
      </c>
    </row>
    <row r="36" spans="1:5" x14ac:dyDescent="0.25">
      <c r="A36" s="122">
        <v>43222</v>
      </c>
      <c r="B36" s="70" t="s">
        <v>280</v>
      </c>
      <c r="C36" s="121">
        <v>384708.28</v>
      </c>
      <c r="D36" s="70">
        <v>11500041</v>
      </c>
      <c r="E36" s="70" t="s">
        <v>283</v>
      </c>
    </row>
    <row r="37" spans="1:5" x14ac:dyDescent="0.25">
      <c r="A37" s="122">
        <v>43281</v>
      </c>
      <c r="B37" s="70" t="s">
        <v>280</v>
      </c>
      <c r="C37" s="121">
        <v>384708.28</v>
      </c>
      <c r="D37" s="70">
        <v>11500041</v>
      </c>
      <c r="E37" s="70" t="s">
        <v>283</v>
      </c>
    </row>
    <row r="38" spans="1:5" x14ac:dyDescent="0.25">
      <c r="A38" s="122">
        <v>43282</v>
      </c>
      <c r="B38" s="70" t="s">
        <v>280</v>
      </c>
      <c r="C38" s="121">
        <v>384708.28</v>
      </c>
      <c r="D38" s="70">
        <v>11500041</v>
      </c>
      <c r="E38" s="70" t="s">
        <v>283</v>
      </c>
    </row>
    <row r="39" spans="1:5" x14ac:dyDescent="0.25">
      <c r="A39" s="122">
        <v>43314</v>
      </c>
      <c r="B39" s="70" t="s">
        <v>280</v>
      </c>
      <c r="C39" s="121">
        <v>384708.28</v>
      </c>
      <c r="D39" s="70">
        <v>11500041</v>
      </c>
      <c r="E39" s="70" t="s">
        <v>283</v>
      </c>
    </row>
    <row r="40" spans="1:5" x14ac:dyDescent="0.25">
      <c r="A40" s="122">
        <v>43346</v>
      </c>
      <c r="B40" s="70" t="s">
        <v>280</v>
      </c>
      <c r="C40" s="121">
        <v>384708.28</v>
      </c>
      <c r="D40" s="70">
        <v>11500041</v>
      </c>
      <c r="E40" s="70" t="s">
        <v>283</v>
      </c>
    </row>
    <row r="41" spans="1:5" x14ac:dyDescent="0.25">
      <c r="A41" s="122">
        <v>43377</v>
      </c>
      <c r="B41" s="70" t="s">
        <v>280</v>
      </c>
      <c r="C41" s="121">
        <v>384708.28</v>
      </c>
      <c r="D41" s="70">
        <v>11500041</v>
      </c>
      <c r="E41" s="70" t="s">
        <v>283</v>
      </c>
    </row>
    <row r="42" spans="1:5" x14ac:dyDescent="0.25">
      <c r="A42" s="122">
        <v>43410</v>
      </c>
      <c r="B42" s="70" t="s">
        <v>280</v>
      </c>
      <c r="C42" s="121">
        <v>384708.28</v>
      </c>
      <c r="D42" s="70">
        <v>11500041</v>
      </c>
      <c r="E42" s="70" t="s">
        <v>283</v>
      </c>
    </row>
    <row r="43" spans="1:5" x14ac:dyDescent="0.25">
      <c r="A43" s="122">
        <v>43441</v>
      </c>
      <c r="B43" s="70" t="s">
        <v>280</v>
      </c>
      <c r="C43" s="121">
        <v>384708.28</v>
      </c>
      <c r="D43" s="70">
        <v>11500041</v>
      </c>
      <c r="E43" s="70" t="s">
        <v>283</v>
      </c>
    </row>
    <row r="44" spans="1:5" ht="13.8" thickBot="1" x14ac:dyDescent="0.3">
      <c r="B44" s="70" t="s">
        <v>150</v>
      </c>
      <c r="C44" s="123">
        <f>SUM(C32:C43)</f>
        <v>4616499.3600000013</v>
      </c>
    </row>
    <row r="45" spans="1:5" ht="13.8" thickTop="1" x14ac:dyDescent="0.25">
      <c r="A45" s="70" t="s">
        <v>282</v>
      </c>
    </row>
    <row r="46" spans="1:5" x14ac:dyDescent="0.25">
      <c r="A46" s="122">
        <f t="shared" ref="A46:A57" si="0">A32</f>
        <v>43101</v>
      </c>
      <c r="B46" s="70" t="s">
        <v>280</v>
      </c>
      <c r="C46" s="121">
        <v>95416.15</v>
      </c>
      <c r="D46" s="70">
        <v>11500061</v>
      </c>
      <c r="E46" s="70" t="s">
        <v>281</v>
      </c>
    </row>
    <row r="47" spans="1:5" x14ac:dyDescent="0.25">
      <c r="A47" s="122">
        <f t="shared" si="0"/>
        <v>43133</v>
      </c>
      <c r="B47" s="70" t="s">
        <v>280</v>
      </c>
      <c r="C47" s="121">
        <v>95416.15</v>
      </c>
      <c r="D47" s="70">
        <v>11500061</v>
      </c>
      <c r="E47" s="70" t="s">
        <v>281</v>
      </c>
    </row>
    <row r="48" spans="1:5" x14ac:dyDescent="0.25">
      <c r="A48" s="122">
        <f t="shared" si="0"/>
        <v>43190</v>
      </c>
      <c r="B48" s="70" t="s">
        <v>280</v>
      </c>
      <c r="C48" s="121">
        <v>95416.15</v>
      </c>
      <c r="D48" s="70">
        <v>11500061</v>
      </c>
      <c r="E48" s="70" t="s">
        <v>281</v>
      </c>
    </row>
    <row r="49" spans="1:9" x14ac:dyDescent="0.25">
      <c r="A49" s="122">
        <f t="shared" si="0"/>
        <v>43191</v>
      </c>
      <c r="B49" s="70" t="s">
        <v>280</v>
      </c>
      <c r="C49" s="121">
        <v>95416.15</v>
      </c>
      <c r="D49" s="70">
        <v>11500061</v>
      </c>
      <c r="E49" s="70" t="s">
        <v>281</v>
      </c>
    </row>
    <row r="50" spans="1:9" x14ac:dyDescent="0.25">
      <c r="A50" s="122">
        <f t="shared" si="0"/>
        <v>43222</v>
      </c>
      <c r="B50" s="70" t="s">
        <v>280</v>
      </c>
      <c r="C50" s="121">
        <v>95416.15</v>
      </c>
      <c r="D50" s="70">
        <v>11500061</v>
      </c>
      <c r="E50" s="70" t="s">
        <v>281</v>
      </c>
    </row>
    <row r="51" spans="1:9" x14ac:dyDescent="0.25">
      <c r="A51" s="122">
        <f t="shared" si="0"/>
        <v>43281</v>
      </c>
      <c r="B51" s="70" t="s">
        <v>280</v>
      </c>
      <c r="C51" s="121">
        <v>95416.15</v>
      </c>
      <c r="D51" s="70">
        <v>11500061</v>
      </c>
      <c r="E51" s="70" t="s">
        <v>281</v>
      </c>
    </row>
    <row r="52" spans="1:9" x14ac:dyDescent="0.25">
      <c r="A52" s="122">
        <f t="shared" si="0"/>
        <v>43282</v>
      </c>
      <c r="B52" s="70" t="s">
        <v>280</v>
      </c>
      <c r="C52" s="121">
        <v>95416.15</v>
      </c>
      <c r="D52" s="70">
        <v>11500061</v>
      </c>
      <c r="E52" s="70" t="s">
        <v>281</v>
      </c>
    </row>
    <row r="53" spans="1:9" x14ac:dyDescent="0.25">
      <c r="A53" s="122">
        <f t="shared" si="0"/>
        <v>43314</v>
      </c>
      <c r="B53" s="70" t="s">
        <v>280</v>
      </c>
      <c r="C53" s="121">
        <v>95416.15</v>
      </c>
      <c r="D53" s="70">
        <v>11500061</v>
      </c>
      <c r="E53" s="70" t="s">
        <v>281</v>
      </c>
    </row>
    <row r="54" spans="1:9" x14ac:dyDescent="0.25">
      <c r="A54" s="122">
        <f t="shared" si="0"/>
        <v>43346</v>
      </c>
      <c r="B54" s="70" t="s">
        <v>280</v>
      </c>
      <c r="C54" s="121">
        <v>95416.15</v>
      </c>
      <c r="D54" s="70">
        <v>11500061</v>
      </c>
      <c r="E54" s="70" t="s">
        <v>281</v>
      </c>
    </row>
    <row r="55" spans="1:9" x14ac:dyDescent="0.25">
      <c r="A55" s="122">
        <f t="shared" si="0"/>
        <v>43377</v>
      </c>
      <c r="B55" s="70" t="s">
        <v>280</v>
      </c>
      <c r="C55" s="121">
        <v>95416.15</v>
      </c>
      <c r="D55" s="70">
        <v>11500061</v>
      </c>
      <c r="E55" s="70" t="s">
        <v>281</v>
      </c>
    </row>
    <row r="56" spans="1:9" x14ac:dyDescent="0.25">
      <c r="A56" s="122">
        <f t="shared" si="0"/>
        <v>43410</v>
      </c>
      <c r="B56" s="70" t="s">
        <v>280</v>
      </c>
      <c r="C56" s="121">
        <v>95416.15</v>
      </c>
      <c r="D56" s="70">
        <v>11500061</v>
      </c>
      <c r="E56" s="70" t="s">
        <v>281</v>
      </c>
    </row>
    <row r="57" spans="1:9" x14ac:dyDescent="0.25">
      <c r="A57" s="122">
        <f t="shared" si="0"/>
        <v>43441</v>
      </c>
      <c r="B57" s="70" t="s">
        <v>280</v>
      </c>
      <c r="C57" s="121">
        <v>95416.15</v>
      </c>
      <c r="D57" s="70">
        <v>11500061</v>
      </c>
      <c r="E57" s="70" t="s">
        <v>281</v>
      </c>
    </row>
    <row r="58" spans="1:9" ht="13.8" thickBot="1" x14ac:dyDescent="0.3">
      <c r="A58" s="70" t="s">
        <v>195</v>
      </c>
      <c r="B58" s="70" t="s">
        <v>150</v>
      </c>
      <c r="C58" s="123">
        <f>SUM(C46:C57)</f>
        <v>1144993.8</v>
      </c>
    </row>
    <row r="59" spans="1:9" ht="15" thickTop="1" x14ac:dyDescent="0.3">
      <c r="A59" s="36"/>
      <c r="B59" s="36"/>
      <c r="C59" s="36"/>
      <c r="D59" s="36"/>
      <c r="E59" s="36"/>
      <c r="F59" s="36"/>
      <c r="G59" s="36"/>
      <c r="H59" s="36"/>
      <c r="I59" s="36"/>
    </row>
    <row r="60" spans="1:9" ht="14.4" x14ac:dyDescent="0.3">
      <c r="A60" s="36"/>
      <c r="B60" s="36"/>
      <c r="C60" s="36"/>
      <c r="D60" s="36"/>
      <c r="E60" s="36"/>
      <c r="F60" s="36"/>
      <c r="G60" s="36"/>
      <c r="H60" s="36"/>
      <c r="I60" s="36"/>
    </row>
    <row r="61" spans="1:9" ht="14.4" x14ac:dyDescent="0.3">
      <c r="A61" s="36"/>
      <c r="B61" s="36"/>
      <c r="C61" s="36"/>
      <c r="D61" s="36"/>
      <c r="E61" s="36"/>
      <c r="F61" s="36"/>
      <c r="G61" s="36"/>
      <c r="H61" s="36"/>
      <c r="I61" s="36"/>
    </row>
    <row r="62" spans="1:9" ht="14.4" x14ac:dyDescent="0.3">
      <c r="A62" s="36"/>
      <c r="B62" s="36"/>
      <c r="C62" s="36"/>
      <c r="D62" s="36"/>
      <c r="E62" s="36"/>
      <c r="F62" s="36"/>
      <c r="G62" s="36"/>
      <c r="H62" s="36"/>
      <c r="I62" s="36"/>
    </row>
    <row r="63" spans="1:9" ht="14.4" x14ac:dyDescent="0.3">
      <c r="A63" s="36"/>
      <c r="B63" s="36"/>
      <c r="C63" s="36"/>
      <c r="D63" s="36"/>
      <c r="E63" s="36"/>
      <c r="F63" s="36"/>
      <c r="G63" s="36"/>
      <c r="H63" s="36"/>
      <c r="I63" s="36"/>
    </row>
    <row r="64" spans="1:9" ht="14.4" x14ac:dyDescent="0.3">
      <c r="A64" s="36"/>
      <c r="B64" s="36"/>
      <c r="C64" s="36"/>
      <c r="D64" s="36"/>
      <c r="E64" s="36"/>
      <c r="F64" s="36"/>
      <c r="G64" s="36"/>
      <c r="H64" s="36"/>
      <c r="I64" s="36"/>
    </row>
    <row r="65" spans="1:9" ht="14.4" x14ac:dyDescent="0.3">
      <c r="A65" s="36"/>
      <c r="B65" s="36"/>
      <c r="C65" s="36"/>
      <c r="D65" s="36"/>
      <c r="E65" s="36"/>
      <c r="F65" s="36"/>
      <c r="G65" s="36"/>
      <c r="H65" s="36"/>
      <c r="I65" s="36"/>
    </row>
    <row r="66" spans="1:9" ht="14.4" x14ac:dyDescent="0.3">
      <c r="A66" s="36"/>
      <c r="B66" s="36"/>
      <c r="C66" s="36"/>
      <c r="D66" s="36"/>
      <c r="E66" s="36"/>
      <c r="F66" s="36"/>
      <c r="G66" s="36"/>
      <c r="H66" s="36"/>
      <c r="I66" s="36"/>
    </row>
    <row r="67" spans="1:9" ht="14.4" x14ac:dyDescent="0.3">
      <c r="A67" s="36"/>
      <c r="B67" s="36"/>
      <c r="C67" s="36"/>
      <c r="D67" s="36"/>
      <c r="E67" s="36"/>
      <c r="F67" s="36"/>
      <c r="G67" s="36"/>
      <c r="H67" s="36"/>
      <c r="I67" s="36"/>
    </row>
    <row r="68" spans="1:9" ht="14.4" x14ac:dyDescent="0.3">
      <c r="A68" s="36"/>
      <c r="B68" s="36"/>
      <c r="C68" s="36"/>
      <c r="D68" s="36"/>
      <c r="E68" s="36"/>
      <c r="F68" s="36"/>
      <c r="G68" s="36"/>
      <c r="H68" s="36"/>
      <c r="I68" s="36"/>
    </row>
    <row r="69" spans="1:9" ht="14.4" x14ac:dyDescent="0.3">
      <c r="A69" s="36"/>
      <c r="B69" s="36"/>
      <c r="C69" s="36"/>
      <c r="D69" s="36"/>
      <c r="E69" s="36"/>
      <c r="F69" s="36"/>
      <c r="G69" s="36"/>
      <c r="H69" s="36"/>
      <c r="I69" s="36"/>
    </row>
    <row r="70" spans="1:9" ht="14.4" x14ac:dyDescent="0.3">
      <c r="A70" s="36"/>
      <c r="B70" s="36"/>
      <c r="C70" s="36"/>
      <c r="D70" s="36"/>
      <c r="E70" s="36"/>
      <c r="F70" s="36"/>
      <c r="G70" s="36"/>
      <c r="H70" s="36"/>
      <c r="I70" s="36"/>
    </row>
    <row r="71" spans="1:9" ht="14.4" x14ac:dyDescent="0.3">
      <c r="A71" s="36"/>
      <c r="B71" s="36"/>
      <c r="C71" s="36"/>
      <c r="D71" s="36"/>
      <c r="E71" s="36"/>
      <c r="F71" s="36"/>
      <c r="G71" s="36"/>
      <c r="H71" s="36"/>
      <c r="I71" s="36"/>
    </row>
    <row r="72" spans="1:9" ht="14.4" x14ac:dyDescent="0.3">
      <c r="A72" s="36"/>
      <c r="B72" s="36"/>
      <c r="C72" s="36"/>
      <c r="D72" s="36"/>
      <c r="E72" s="36"/>
      <c r="F72" s="36"/>
      <c r="G72" s="36"/>
      <c r="H72" s="36"/>
      <c r="I72" s="36"/>
    </row>
    <row r="73" spans="1:9" ht="14.4" x14ac:dyDescent="0.3">
      <c r="A73" s="36"/>
      <c r="B73" s="36"/>
      <c r="C73" s="36"/>
      <c r="D73" s="36"/>
      <c r="E73" s="36"/>
      <c r="F73" s="36"/>
      <c r="G73" s="36"/>
      <c r="H73" s="36"/>
      <c r="I73" s="36"/>
    </row>
    <row r="74" spans="1:9" ht="14.4" x14ac:dyDescent="0.3">
      <c r="A74" s="36"/>
      <c r="B74" s="36"/>
      <c r="C74" s="36"/>
      <c r="D74" s="36"/>
      <c r="E74" s="36"/>
      <c r="F74" s="36"/>
      <c r="G74" s="36"/>
      <c r="H74" s="36"/>
      <c r="I74" s="36"/>
    </row>
    <row r="75" spans="1:9" ht="14.4" x14ac:dyDescent="0.3">
      <c r="A75" s="36"/>
      <c r="B75" s="36"/>
      <c r="C75" s="36"/>
      <c r="D75" s="36"/>
      <c r="E75" s="36"/>
      <c r="F75" s="36"/>
      <c r="G75" s="36"/>
      <c r="H75" s="36"/>
      <c r="I75" s="36"/>
    </row>
    <row r="76" spans="1:9" ht="14.4" x14ac:dyDescent="0.3">
      <c r="A76" s="36"/>
      <c r="B76" s="36"/>
      <c r="C76" s="36"/>
      <c r="D76" s="36"/>
      <c r="E76" s="36"/>
      <c r="F76" s="36"/>
      <c r="G76" s="36"/>
      <c r="H76" s="36"/>
      <c r="I76" s="36"/>
    </row>
    <row r="77" spans="1:9" ht="14.4" x14ac:dyDescent="0.3">
      <c r="A77" s="36"/>
      <c r="B77" s="36"/>
      <c r="C77" s="36"/>
      <c r="D77" s="36"/>
      <c r="E77" s="36"/>
      <c r="F77" s="36"/>
      <c r="G77" s="36"/>
      <c r="H77" s="36"/>
      <c r="I77" s="36"/>
    </row>
    <row r="78" spans="1:9" ht="14.4" x14ac:dyDescent="0.3">
      <c r="A78" s="36"/>
      <c r="B78" s="36"/>
      <c r="C78" s="36"/>
      <c r="D78" s="36"/>
      <c r="E78" s="36"/>
      <c r="F78" s="36"/>
      <c r="G78" s="36"/>
      <c r="H78" s="36"/>
      <c r="I78" s="36"/>
    </row>
    <row r="79" spans="1:9" ht="14.4" x14ac:dyDescent="0.3">
      <c r="A79" s="36"/>
      <c r="B79" s="36"/>
      <c r="C79" s="36"/>
      <c r="D79" s="36"/>
      <c r="E79" s="36"/>
      <c r="F79" s="36"/>
      <c r="G79" s="36"/>
      <c r="H79" s="36"/>
      <c r="I79" s="36"/>
    </row>
    <row r="80" spans="1:9" ht="14.4" x14ac:dyDescent="0.3">
      <c r="A80" s="36"/>
      <c r="B80" s="36"/>
      <c r="C80" s="36"/>
      <c r="D80" s="36"/>
      <c r="E80" s="36"/>
      <c r="F80" s="36"/>
      <c r="G80" s="36"/>
      <c r="H80" s="36"/>
      <c r="I80" s="36"/>
    </row>
    <row r="81" spans="1:9" ht="14.4" x14ac:dyDescent="0.3">
      <c r="A81" s="36"/>
      <c r="B81" s="36"/>
      <c r="C81" s="36"/>
      <c r="D81" s="36"/>
      <c r="E81" s="36"/>
      <c r="F81" s="36"/>
      <c r="G81" s="36"/>
      <c r="H81" s="36"/>
      <c r="I81" s="36"/>
    </row>
    <row r="82" spans="1:9" ht="14.4" x14ac:dyDescent="0.3">
      <c r="A82" s="36"/>
      <c r="B82" s="36"/>
      <c r="C82" s="36"/>
      <c r="D82" s="36"/>
      <c r="E82" s="36"/>
      <c r="F82" s="36"/>
      <c r="G82" s="36"/>
      <c r="H82" s="36"/>
      <c r="I82" s="36"/>
    </row>
    <row r="83" spans="1:9" ht="14.4" x14ac:dyDescent="0.3">
      <c r="A83" s="36"/>
      <c r="B83" s="36"/>
      <c r="C83" s="36"/>
      <c r="D83" s="36"/>
      <c r="E83" s="36"/>
      <c r="F83" s="36"/>
      <c r="G83" s="36"/>
      <c r="H83" s="36"/>
      <c r="I83" s="36"/>
    </row>
    <row r="84" spans="1:9" ht="14.4" x14ac:dyDescent="0.3">
      <c r="A84" s="36"/>
      <c r="B84" s="36"/>
      <c r="C84" s="36"/>
      <c r="D84" s="36"/>
      <c r="E84" s="36"/>
      <c r="F84" s="36"/>
      <c r="G84" s="36"/>
      <c r="H84" s="36"/>
      <c r="I84" s="36"/>
    </row>
    <row r="85" spans="1:9" ht="14.4" x14ac:dyDescent="0.3">
      <c r="A85" s="36"/>
      <c r="B85" s="36"/>
      <c r="C85" s="36"/>
      <c r="D85" s="36"/>
      <c r="E85" s="36"/>
      <c r="F85" s="36"/>
      <c r="G85" s="36"/>
      <c r="H85" s="36"/>
      <c r="I85" s="36"/>
    </row>
    <row r="86" spans="1:9" ht="14.4" x14ac:dyDescent="0.3">
      <c r="A86" s="36"/>
      <c r="B86" s="36"/>
      <c r="C86" s="36"/>
      <c r="D86" s="36"/>
      <c r="E86" s="36"/>
      <c r="F86" s="36"/>
      <c r="G86" s="36"/>
      <c r="H86" s="36"/>
      <c r="I86" s="36"/>
    </row>
    <row r="87" spans="1:9" ht="14.4" x14ac:dyDescent="0.3">
      <c r="A87" s="36"/>
      <c r="B87" s="36"/>
      <c r="C87" s="36"/>
      <c r="D87" s="36"/>
      <c r="E87" s="36"/>
      <c r="F87" s="36"/>
      <c r="G87" s="36"/>
      <c r="H87" s="36"/>
      <c r="I87" s="36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XFD1048576"/>
    </sheetView>
  </sheetViews>
  <sheetFormatPr defaultColWidth="9.109375" defaultRowHeight="10.199999999999999" x14ac:dyDescent="0.2"/>
  <cols>
    <col min="1" max="1" width="9.109375" style="69"/>
    <col min="2" max="2" width="15.5546875" style="69" bestFit="1" customWidth="1"/>
    <col min="3" max="16384" width="9.109375" style="69"/>
  </cols>
  <sheetData>
    <row r="1" spans="1:6" ht="18" x14ac:dyDescent="0.35">
      <c r="A1" s="22" t="s">
        <v>297</v>
      </c>
      <c r="B1" s="22"/>
      <c r="C1" s="22"/>
      <c r="D1" s="22"/>
      <c r="E1" s="21"/>
      <c r="F1" s="21"/>
    </row>
    <row r="2" spans="1:6" ht="18" x14ac:dyDescent="0.35">
      <c r="A2" s="22" t="s">
        <v>279</v>
      </c>
      <c r="B2" s="22"/>
      <c r="C2" s="22"/>
      <c r="D2" s="22"/>
      <c r="E2" s="21"/>
      <c r="F2" s="21"/>
    </row>
    <row r="3" spans="1:6" ht="18" x14ac:dyDescent="0.35">
      <c r="A3" s="21"/>
      <c r="B3" s="21"/>
      <c r="C3" s="21"/>
      <c r="D3" s="21"/>
      <c r="E3" s="21"/>
      <c r="F3" s="21"/>
    </row>
    <row r="4" spans="1:6" ht="14.4" x14ac:dyDescent="0.3">
      <c r="A4" s="115" t="s">
        <v>296</v>
      </c>
      <c r="B4" s="116">
        <v>557000033</v>
      </c>
    </row>
    <row r="5" spans="1:6" ht="14.4" x14ac:dyDescent="0.3">
      <c r="A5" s="117">
        <v>43101</v>
      </c>
      <c r="B5" s="42">
        <v>31295.43</v>
      </c>
    </row>
    <row r="6" spans="1:6" ht="14.4" x14ac:dyDescent="0.3">
      <c r="A6" s="117">
        <v>43133</v>
      </c>
      <c r="B6" s="42">
        <v>61045.46</v>
      </c>
    </row>
    <row r="7" spans="1:6" ht="14.4" x14ac:dyDescent="0.3">
      <c r="A7" s="117">
        <v>43190</v>
      </c>
      <c r="B7" s="42">
        <v>24568.67</v>
      </c>
    </row>
    <row r="8" spans="1:6" ht="14.4" x14ac:dyDescent="0.3">
      <c r="A8" s="117">
        <v>43191</v>
      </c>
      <c r="B8" s="42">
        <v>33508.33</v>
      </c>
    </row>
    <row r="9" spans="1:6" ht="14.4" x14ac:dyDescent="0.3">
      <c r="A9" s="117">
        <v>43222</v>
      </c>
      <c r="B9" s="42">
        <v>38957.919999999998</v>
      </c>
    </row>
    <row r="10" spans="1:6" ht="14.4" x14ac:dyDescent="0.3">
      <c r="A10" s="117">
        <v>43281</v>
      </c>
      <c r="B10" s="42">
        <v>33720.35</v>
      </c>
    </row>
    <row r="11" spans="1:6" ht="14.4" x14ac:dyDescent="0.3">
      <c r="A11" s="117">
        <v>43282</v>
      </c>
      <c r="B11" s="42">
        <v>18378.189999999999</v>
      </c>
    </row>
    <row r="12" spans="1:6" ht="14.4" x14ac:dyDescent="0.3">
      <c r="A12" s="117">
        <v>43314</v>
      </c>
      <c r="B12" s="42">
        <v>35163.980000000003</v>
      </c>
    </row>
    <row r="13" spans="1:6" ht="14.4" x14ac:dyDescent="0.3">
      <c r="A13" s="117">
        <v>43346</v>
      </c>
      <c r="B13" s="42">
        <v>45332.7</v>
      </c>
    </row>
    <row r="14" spans="1:6" ht="14.4" x14ac:dyDescent="0.3">
      <c r="A14" s="117">
        <v>43377</v>
      </c>
      <c r="B14" s="42">
        <v>51916.22</v>
      </c>
    </row>
    <row r="15" spans="1:6" ht="14.4" x14ac:dyDescent="0.3">
      <c r="A15" s="117">
        <v>43410</v>
      </c>
      <c r="B15" s="42">
        <v>37803.980000000003</v>
      </c>
    </row>
    <row r="16" spans="1:6" ht="14.4" x14ac:dyDescent="0.3">
      <c r="A16" s="117">
        <v>43441</v>
      </c>
      <c r="B16" s="118">
        <v>34973.99</v>
      </c>
    </row>
    <row r="17" spans="1:2" ht="15" thickBot="1" x14ac:dyDescent="0.35">
      <c r="A17" s="119" t="s">
        <v>150</v>
      </c>
      <c r="B17" s="120">
        <f>SUM(B5:B16)</f>
        <v>446665.22</v>
      </c>
    </row>
    <row r="18" spans="1:2" ht="15" thickTop="1" x14ac:dyDescent="0.3">
      <c r="B18" s="42"/>
    </row>
    <row r="19" spans="1:2" ht="14.4" x14ac:dyDescent="0.3">
      <c r="B19" s="42"/>
    </row>
    <row r="20" spans="1:2" ht="14.4" x14ac:dyDescent="0.3">
      <c r="B20" s="42"/>
    </row>
    <row r="21" spans="1:2" ht="14.4" x14ac:dyDescent="0.3">
      <c r="B21" s="42"/>
    </row>
    <row r="22" spans="1:2" ht="14.4" x14ac:dyDescent="0.3">
      <c r="B22" s="42"/>
    </row>
    <row r="23" spans="1:2" ht="14.4" x14ac:dyDescent="0.3">
      <c r="B23" s="42"/>
    </row>
    <row r="24" spans="1:2" ht="14.4" x14ac:dyDescent="0.3">
      <c r="B24" s="42"/>
    </row>
    <row r="25" spans="1:2" ht="14.4" x14ac:dyDescent="0.3">
      <c r="B25" s="42"/>
    </row>
    <row r="26" spans="1:2" ht="14.4" x14ac:dyDescent="0.3">
      <c r="B26" s="42"/>
    </row>
    <row r="27" spans="1:2" ht="14.4" x14ac:dyDescent="0.3">
      <c r="B27" s="42"/>
    </row>
    <row r="28" spans="1:2" ht="14.4" x14ac:dyDescent="0.3">
      <c r="B28" s="42"/>
    </row>
    <row r="29" spans="1:2" ht="14.4" x14ac:dyDescent="0.3">
      <c r="B29" s="42"/>
    </row>
    <row r="30" spans="1:2" ht="14.4" x14ac:dyDescent="0.3">
      <c r="B30" s="42"/>
    </row>
    <row r="31" spans="1:2" ht="14.4" x14ac:dyDescent="0.3">
      <c r="B31" s="42"/>
    </row>
    <row r="32" spans="1:2" ht="14.4" x14ac:dyDescent="0.3">
      <c r="B32" s="42"/>
    </row>
    <row r="33" spans="2:2" ht="14.4" x14ac:dyDescent="0.3">
      <c r="B33" s="42"/>
    </row>
    <row r="34" spans="2:2" ht="14.4" x14ac:dyDescent="0.3">
      <c r="B34" s="42"/>
    </row>
    <row r="35" spans="2:2" ht="14.4" x14ac:dyDescent="0.3">
      <c r="B35" s="42"/>
    </row>
    <row r="36" spans="2:2" ht="14.4" x14ac:dyDescent="0.3">
      <c r="B36" s="42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85" zoomScaleNormal="85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09375" defaultRowHeight="10.199999999999999" x14ac:dyDescent="0.2"/>
  <cols>
    <col min="1" max="1" width="28.88671875" style="69" customWidth="1"/>
    <col min="2" max="2" width="9.109375" style="69"/>
    <col min="3" max="4" width="15.6640625" style="69" bestFit="1" customWidth="1"/>
    <col min="5" max="5" width="20.88671875" style="69" bestFit="1" customWidth="1"/>
    <col min="6" max="6" width="21.44140625" style="69" bestFit="1" customWidth="1"/>
    <col min="7" max="7" width="19.109375" style="69" bestFit="1" customWidth="1"/>
    <col min="8" max="8" width="13.109375" style="69" bestFit="1" customWidth="1"/>
    <col min="9" max="14" width="9.109375" style="69"/>
    <col min="15" max="15" width="14.6640625" style="69" bestFit="1" customWidth="1"/>
    <col min="16" max="16" width="15.33203125" style="69" customWidth="1"/>
    <col min="17" max="18" width="15.33203125" style="69" bestFit="1" customWidth="1"/>
    <col min="19" max="16384" width="9.109375" style="69"/>
  </cols>
  <sheetData>
    <row r="1" spans="1:7" ht="13.2" x14ac:dyDescent="0.25">
      <c r="B1" s="70"/>
      <c r="C1" s="70"/>
      <c r="D1" s="70"/>
      <c r="E1" s="70"/>
      <c r="F1" s="70"/>
      <c r="G1" s="70"/>
    </row>
    <row r="2" spans="1:7" ht="13.2" x14ac:dyDescent="0.25">
      <c r="A2" s="71" t="s">
        <v>313</v>
      </c>
      <c r="B2" s="70"/>
      <c r="C2" s="70"/>
      <c r="D2" s="70"/>
      <c r="E2" s="70"/>
      <c r="F2" s="70"/>
      <c r="G2" s="70"/>
    </row>
    <row r="3" spans="1:7" ht="13.2" x14ac:dyDescent="0.25">
      <c r="A3" s="71" t="s">
        <v>312</v>
      </c>
      <c r="B3" s="70"/>
      <c r="C3" s="70"/>
      <c r="D3" s="70"/>
      <c r="E3" s="70"/>
      <c r="F3" s="70"/>
      <c r="G3" s="70"/>
    </row>
    <row r="4" spans="1:7" ht="13.2" x14ac:dyDescent="0.25">
      <c r="A4" s="71" t="s">
        <v>536</v>
      </c>
      <c r="B4" s="70"/>
      <c r="C4" s="70"/>
      <c r="D4" s="70"/>
      <c r="E4" s="70"/>
      <c r="F4" s="70"/>
      <c r="G4" s="70"/>
    </row>
    <row r="5" spans="1:7" x14ac:dyDescent="0.2">
      <c r="A5" s="110"/>
    </row>
    <row r="6" spans="1:7" ht="13.2" x14ac:dyDescent="0.25">
      <c r="A6" s="72"/>
      <c r="B6" s="73"/>
      <c r="C6" s="74" t="s">
        <v>311</v>
      </c>
      <c r="D6" s="74" t="s">
        <v>272</v>
      </c>
      <c r="E6" s="74" t="s">
        <v>310</v>
      </c>
      <c r="F6" s="74" t="s">
        <v>309</v>
      </c>
      <c r="G6" s="75" t="s">
        <v>308</v>
      </c>
    </row>
    <row r="7" spans="1:7" ht="13.2" x14ac:dyDescent="0.25">
      <c r="A7" s="76" t="s">
        <v>307</v>
      </c>
      <c r="B7" s="77"/>
      <c r="C7" s="78" t="s">
        <v>306</v>
      </c>
      <c r="D7" s="78"/>
      <c r="E7" s="78" t="s">
        <v>305</v>
      </c>
      <c r="F7" s="78" t="s">
        <v>305</v>
      </c>
      <c r="G7" s="79" t="s">
        <v>304</v>
      </c>
    </row>
    <row r="8" spans="1:7" ht="13.2" x14ac:dyDescent="0.25">
      <c r="A8" s="76"/>
      <c r="B8" s="77"/>
      <c r="C8" s="78" t="s">
        <v>303</v>
      </c>
      <c r="D8" s="78" t="s">
        <v>302</v>
      </c>
      <c r="E8" s="78" t="s">
        <v>301</v>
      </c>
      <c r="F8" s="78" t="s">
        <v>300</v>
      </c>
      <c r="G8" s="79" t="s">
        <v>299</v>
      </c>
    </row>
    <row r="9" spans="1:7" ht="13.2" x14ac:dyDescent="0.25">
      <c r="A9" s="76"/>
      <c r="B9" s="77"/>
      <c r="C9" s="78"/>
      <c r="D9" s="80"/>
      <c r="E9" s="80"/>
      <c r="F9" s="78"/>
      <c r="G9" s="79"/>
    </row>
    <row r="10" spans="1:7" ht="13.2" x14ac:dyDescent="0.25">
      <c r="A10" s="81"/>
      <c r="B10" s="77"/>
      <c r="C10" s="93">
        <v>-27634237</v>
      </c>
      <c r="D10" s="92">
        <f>C10</f>
        <v>-27634237</v>
      </c>
      <c r="E10" s="92"/>
      <c r="F10" s="94"/>
      <c r="G10" s="95"/>
    </row>
    <row r="11" spans="1:7" ht="13.2" x14ac:dyDescent="0.25">
      <c r="A11" s="90" t="s">
        <v>298</v>
      </c>
      <c r="B11" s="77"/>
      <c r="C11" s="91"/>
      <c r="D11" s="92">
        <f t="shared" ref="D11:D42" si="0">D10</f>
        <v>-27634237</v>
      </c>
      <c r="E11" s="93">
        <f>D11/535/31*18</f>
        <v>-29991.936448598131</v>
      </c>
      <c r="F11" s="94">
        <f t="shared" ref="F11:F42" si="1">F10-E11</f>
        <v>29991.936448598131</v>
      </c>
      <c r="G11" s="95">
        <f t="shared" ref="G11:G42" si="2">D11+F11</f>
        <v>-27604245.063551404</v>
      </c>
    </row>
    <row r="12" spans="1:7" ht="13.2" x14ac:dyDescent="0.25">
      <c r="A12" s="90">
        <v>41820</v>
      </c>
      <c r="B12" s="77"/>
      <c r="C12" s="91"/>
      <c r="D12" s="92">
        <f t="shared" si="0"/>
        <v>-27634237</v>
      </c>
      <c r="E12" s="93">
        <f t="shared" ref="E12:E43" si="3">D12/535</f>
        <v>-51652.779439252336</v>
      </c>
      <c r="F12" s="94">
        <f t="shared" si="1"/>
        <v>81644.715887850471</v>
      </c>
      <c r="G12" s="95">
        <f t="shared" si="2"/>
        <v>-27552592.284112148</v>
      </c>
    </row>
    <row r="13" spans="1:7" ht="13.2" x14ac:dyDescent="0.25">
      <c r="A13" s="90">
        <v>41851</v>
      </c>
      <c r="B13" s="77"/>
      <c r="C13" s="91"/>
      <c r="D13" s="92">
        <f t="shared" si="0"/>
        <v>-27634237</v>
      </c>
      <c r="E13" s="93">
        <f t="shared" si="3"/>
        <v>-51652.779439252336</v>
      </c>
      <c r="F13" s="94">
        <f t="shared" si="1"/>
        <v>133297.49532710281</v>
      </c>
      <c r="G13" s="95">
        <f t="shared" si="2"/>
        <v>-27500939.504672896</v>
      </c>
    </row>
    <row r="14" spans="1:7" ht="13.2" x14ac:dyDescent="0.25">
      <c r="A14" s="90">
        <v>41882</v>
      </c>
      <c r="B14" s="77"/>
      <c r="C14" s="91"/>
      <c r="D14" s="92">
        <f t="shared" si="0"/>
        <v>-27634237</v>
      </c>
      <c r="E14" s="93">
        <f t="shared" si="3"/>
        <v>-51652.779439252336</v>
      </c>
      <c r="F14" s="94">
        <f t="shared" si="1"/>
        <v>184950.27476635514</v>
      </c>
      <c r="G14" s="95">
        <f t="shared" si="2"/>
        <v>-27449286.725233644</v>
      </c>
    </row>
    <row r="15" spans="1:7" ht="13.2" x14ac:dyDescent="0.25">
      <c r="A15" s="90">
        <v>41912</v>
      </c>
      <c r="B15" s="77"/>
      <c r="C15" s="91"/>
      <c r="D15" s="92">
        <f t="shared" si="0"/>
        <v>-27634237</v>
      </c>
      <c r="E15" s="93">
        <f t="shared" si="3"/>
        <v>-51652.779439252336</v>
      </c>
      <c r="F15" s="94">
        <f t="shared" si="1"/>
        <v>236603.05420560748</v>
      </c>
      <c r="G15" s="95">
        <f t="shared" si="2"/>
        <v>-27397633.945794392</v>
      </c>
    </row>
    <row r="16" spans="1:7" ht="13.2" x14ac:dyDescent="0.25">
      <c r="A16" s="90">
        <v>41943</v>
      </c>
      <c r="B16" s="77"/>
      <c r="C16" s="91"/>
      <c r="D16" s="92">
        <f t="shared" si="0"/>
        <v>-27634237</v>
      </c>
      <c r="E16" s="93">
        <f t="shared" si="3"/>
        <v>-51652.779439252336</v>
      </c>
      <c r="F16" s="94">
        <f t="shared" si="1"/>
        <v>288255.83364485984</v>
      </c>
      <c r="G16" s="95">
        <f t="shared" si="2"/>
        <v>-27345981.166355141</v>
      </c>
    </row>
    <row r="17" spans="1:7" ht="13.2" x14ac:dyDescent="0.25">
      <c r="A17" s="90">
        <v>41973</v>
      </c>
      <c r="B17" s="77"/>
      <c r="C17" s="91"/>
      <c r="D17" s="92">
        <f t="shared" si="0"/>
        <v>-27634237</v>
      </c>
      <c r="E17" s="93">
        <f t="shared" si="3"/>
        <v>-51652.779439252336</v>
      </c>
      <c r="F17" s="94">
        <f t="shared" si="1"/>
        <v>339908.61308411218</v>
      </c>
      <c r="G17" s="95">
        <f t="shared" si="2"/>
        <v>-27294328.386915889</v>
      </c>
    </row>
    <row r="18" spans="1:7" ht="13.2" x14ac:dyDescent="0.25">
      <c r="A18" s="90">
        <v>42004</v>
      </c>
      <c r="B18" s="77"/>
      <c r="C18" s="91"/>
      <c r="D18" s="92">
        <f t="shared" si="0"/>
        <v>-27634237</v>
      </c>
      <c r="E18" s="93">
        <f t="shared" si="3"/>
        <v>-51652.779439252336</v>
      </c>
      <c r="F18" s="94">
        <f t="shared" si="1"/>
        <v>391561.39252336451</v>
      </c>
      <c r="G18" s="95">
        <f t="shared" si="2"/>
        <v>-27242675.607476637</v>
      </c>
    </row>
    <row r="19" spans="1:7" ht="13.2" x14ac:dyDescent="0.25">
      <c r="A19" s="90">
        <v>42035</v>
      </c>
      <c r="B19" s="77"/>
      <c r="C19" s="91"/>
      <c r="D19" s="92">
        <f t="shared" si="0"/>
        <v>-27634237</v>
      </c>
      <c r="E19" s="93">
        <f t="shared" si="3"/>
        <v>-51652.779439252336</v>
      </c>
      <c r="F19" s="94">
        <f t="shared" si="1"/>
        <v>443214.17196261685</v>
      </c>
      <c r="G19" s="95">
        <f t="shared" si="2"/>
        <v>-27191022.828037385</v>
      </c>
    </row>
    <row r="20" spans="1:7" ht="13.2" x14ac:dyDescent="0.25">
      <c r="A20" s="90">
        <v>42063</v>
      </c>
      <c r="B20" s="77"/>
      <c r="C20" s="91"/>
      <c r="D20" s="92">
        <f t="shared" si="0"/>
        <v>-27634237</v>
      </c>
      <c r="E20" s="93">
        <f t="shared" si="3"/>
        <v>-51652.779439252336</v>
      </c>
      <c r="F20" s="94">
        <f t="shared" si="1"/>
        <v>494866.95140186918</v>
      </c>
      <c r="G20" s="95">
        <f t="shared" si="2"/>
        <v>-27139370.048598129</v>
      </c>
    </row>
    <row r="21" spans="1:7" ht="13.2" x14ac:dyDescent="0.25">
      <c r="A21" s="90">
        <v>42094</v>
      </c>
      <c r="B21" s="96"/>
      <c r="C21" s="97"/>
      <c r="D21" s="92">
        <f t="shared" si="0"/>
        <v>-27634237</v>
      </c>
      <c r="E21" s="93">
        <f t="shared" si="3"/>
        <v>-51652.779439252336</v>
      </c>
      <c r="F21" s="94">
        <f t="shared" si="1"/>
        <v>546519.73084112152</v>
      </c>
      <c r="G21" s="95">
        <f t="shared" si="2"/>
        <v>-27087717.269158877</v>
      </c>
    </row>
    <row r="22" spans="1:7" ht="13.2" x14ac:dyDescent="0.25">
      <c r="A22" s="90">
        <v>42124</v>
      </c>
      <c r="B22" s="98"/>
      <c r="C22" s="97"/>
      <c r="D22" s="92">
        <f t="shared" si="0"/>
        <v>-27634237</v>
      </c>
      <c r="E22" s="93">
        <f t="shared" si="3"/>
        <v>-51652.779439252336</v>
      </c>
      <c r="F22" s="94">
        <f t="shared" si="1"/>
        <v>598172.51028037386</v>
      </c>
      <c r="G22" s="95">
        <f t="shared" si="2"/>
        <v>-27036064.489719626</v>
      </c>
    </row>
    <row r="23" spans="1:7" ht="13.2" x14ac:dyDescent="0.25">
      <c r="A23" s="90">
        <v>42155</v>
      </c>
      <c r="B23" s="98"/>
      <c r="C23" s="97"/>
      <c r="D23" s="92">
        <f t="shared" si="0"/>
        <v>-27634237</v>
      </c>
      <c r="E23" s="93">
        <f t="shared" si="3"/>
        <v>-51652.779439252336</v>
      </c>
      <c r="F23" s="94">
        <f t="shared" si="1"/>
        <v>649825.28971962619</v>
      </c>
      <c r="G23" s="95">
        <f t="shared" si="2"/>
        <v>-26984411.710280374</v>
      </c>
    </row>
    <row r="24" spans="1:7" ht="13.2" x14ac:dyDescent="0.25">
      <c r="A24" s="90">
        <v>42185</v>
      </c>
      <c r="B24" s="98"/>
      <c r="C24" s="97"/>
      <c r="D24" s="92">
        <f t="shared" si="0"/>
        <v>-27634237</v>
      </c>
      <c r="E24" s="93">
        <f t="shared" si="3"/>
        <v>-51652.779439252336</v>
      </c>
      <c r="F24" s="94">
        <f t="shared" si="1"/>
        <v>701478.06915887853</v>
      </c>
      <c r="G24" s="95">
        <f t="shared" si="2"/>
        <v>-26932758.930841122</v>
      </c>
    </row>
    <row r="25" spans="1:7" ht="13.2" x14ac:dyDescent="0.25">
      <c r="A25" s="90">
        <v>42216</v>
      </c>
      <c r="B25" s="98"/>
      <c r="C25" s="97"/>
      <c r="D25" s="92">
        <f t="shared" si="0"/>
        <v>-27634237</v>
      </c>
      <c r="E25" s="93">
        <f t="shared" si="3"/>
        <v>-51652.779439252336</v>
      </c>
      <c r="F25" s="94">
        <f t="shared" si="1"/>
        <v>753130.84859813086</v>
      </c>
      <c r="G25" s="95">
        <f t="shared" si="2"/>
        <v>-26881106.15140187</v>
      </c>
    </row>
    <row r="26" spans="1:7" ht="13.2" x14ac:dyDescent="0.25">
      <c r="A26" s="90">
        <v>42247</v>
      </c>
      <c r="B26" s="99"/>
      <c r="C26" s="97"/>
      <c r="D26" s="92">
        <f t="shared" si="0"/>
        <v>-27634237</v>
      </c>
      <c r="E26" s="93">
        <f t="shared" si="3"/>
        <v>-51652.779439252336</v>
      </c>
      <c r="F26" s="94">
        <f t="shared" si="1"/>
        <v>804783.6280373832</v>
      </c>
      <c r="G26" s="95">
        <f t="shared" si="2"/>
        <v>-26829453.371962618</v>
      </c>
    </row>
    <row r="27" spans="1:7" ht="13.2" x14ac:dyDescent="0.25">
      <c r="A27" s="90">
        <v>42277</v>
      </c>
      <c r="B27" s="98"/>
      <c r="C27" s="97"/>
      <c r="D27" s="92">
        <f t="shared" si="0"/>
        <v>-27634237</v>
      </c>
      <c r="E27" s="93">
        <f t="shared" si="3"/>
        <v>-51652.779439252336</v>
      </c>
      <c r="F27" s="94">
        <f t="shared" si="1"/>
        <v>856436.40747663553</v>
      </c>
      <c r="G27" s="95">
        <f t="shared" si="2"/>
        <v>-26777800.592523366</v>
      </c>
    </row>
    <row r="28" spans="1:7" ht="13.2" x14ac:dyDescent="0.25">
      <c r="A28" s="90">
        <v>42308</v>
      </c>
      <c r="B28" s="98"/>
      <c r="C28" s="97"/>
      <c r="D28" s="92">
        <f t="shared" si="0"/>
        <v>-27634237</v>
      </c>
      <c r="E28" s="93">
        <f t="shared" si="3"/>
        <v>-51652.779439252336</v>
      </c>
      <c r="F28" s="94">
        <f t="shared" si="1"/>
        <v>908089.18691588787</v>
      </c>
      <c r="G28" s="95">
        <f t="shared" si="2"/>
        <v>-26726147.813084111</v>
      </c>
    </row>
    <row r="29" spans="1:7" ht="13.2" x14ac:dyDescent="0.25">
      <c r="A29" s="90">
        <v>42338</v>
      </c>
      <c r="B29" s="98"/>
      <c r="C29" s="97"/>
      <c r="D29" s="92">
        <f t="shared" si="0"/>
        <v>-27634237</v>
      </c>
      <c r="E29" s="93">
        <f t="shared" si="3"/>
        <v>-51652.779439252336</v>
      </c>
      <c r="F29" s="94">
        <f t="shared" si="1"/>
        <v>959741.9663551402</v>
      </c>
      <c r="G29" s="95">
        <f t="shared" si="2"/>
        <v>-26674495.033644859</v>
      </c>
    </row>
    <row r="30" spans="1:7" ht="13.2" x14ac:dyDescent="0.25">
      <c r="A30" s="90">
        <v>42369</v>
      </c>
      <c r="B30" s="98"/>
      <c r="C30" s="100"/>
      <c r="D30" s="92">
        <f t="shared" si="0"/>
        <v>-27634237</v>
      </c>
      <c r="E30" s="93">
        <f t="shared" si="3"/>
        <v>-51652.779439252336</v>
      </c>
      <c r="F30" s="94">
        <f t="shared" si="1"/>
        <v>1011394.7457943925</v>
      </c>
      <c r="G30" s="95">
        <f t="shared" si="2"/>
        <v>-26622842.254205607</v>
      </c>
    </row>
    <row r="31" spans="1:7" ht="13.2" x14ac:dyDescent="0.25">
      <c r="A31" s="90">
        <v>42400</v>
      </c>
      <c r="B31" s="98"/>
      <c r="C31" s="100"/>
      <c r="D31" s="92">
        <f t="shared" si="0"/>
        <v>-27634237</v>
      </c>
      <c r="E31" s="93">
        <f t="shared" si="3"/>
        <v>-51652.779439252336</v>
      </c>
      <c r="F31" s="94">
        <f t="shared" si="1"/>
        <v>1063047.525233645</v>
      </c>
      <c r="G31" s="95">
        <f t="shared" si="2"/>
        <v>-26571189.474766355</v>
      </c>
    </row>
    <row r="32" spans="1:7" ht="13.2" x14ac:dyDescent="0.25">
      <c r="A32" s="90">
        <v>42428</v>
      </c>
      <c r="B32" s="98"/>
      <c r="C32" s="100"/>
      <c r="D32" s="92">
        <f t="shared" si="0"/>
        <v>-27634237</v>
      </c>
      <c r="E32" s="93">
        <f t="shared" si="3"/>
        <v>-51652.779439252336</v>
      </c>
      <c r="F32" s="94">
        <f t="shared" si="1"/>
        <v>1114700.3046728973</v>
      </c>
      <c r="G32" s="95">
        <f t="shared" si="2"/>
        <v>-26519536.695327103</v>
      </c>
    </row>
    <row r="33" spans="1:7" ht="13.2" x14ac:dyDescent="0.25">
      <c r="A33" s="90">
        <v>42460</v>
      </c>
      <c r="B33" s="98"/>
      <c r="C33" s="100"/>
      <c r="D33" s="92">
        <f t="shared" si="0"/>
        <v>-27634237</v>
      </c>
      <c r="E33" s="93">
        <f t="shared" si="3"/>
        <v>-51652.779439252336</v>
      </c>
      <c r="F33" s="94">
        <f t="shared" si="1"/>
        <v>1166353.0841121497</v>
      </c>
      <c r="G33" s="95">
        <f t="shared" si="2"/>
        <v>-26467883.915887851</v>
      </c>
    </row>
    <row r="34" spans="1:7" ht="13.2" x14ac:dyDescent="0.25">
      <c r="A34" s="90">
        <v>42490</v>
      </c>
      <c r="B34" s="98"/>
      <c r="C34" s="100"/>
      <c r="D34" s="92">
        <f t="shared" si="0"/>
        <v>-27634237</v>
      </c>
      <c r="E34" s="93">
        <f t="shared" si="3"/>
        <v>-51652.779439252336</v>
      </c>
      <c r="F34" s="94">
        <f t="shared" si="1"/>
        <v>1218005.863551402</v>
      </c>
      <c r="G34" s="95">
        <f t="shared" si="2"/>
        <v>-26416231.136448599</v>
      </c>
    </row>
    <row r="35" spans="1:7" ht="13.2" x14ac:dyDescent="0.25">
      <c r="A35" s="90">
        <v>42521</v>
      </c>
      <c r="B35" s="98"/>
      <c r="C35" s="100"/>
      <c r="D35" s="92">
        <f t="shared" si="0"/>
        <v>-27634237</v>
      </c>
      <c r="E35" s="93">
        <f t="shared" si="3"/>
        <v>-51652.779439252336</v>
      </c>
      <c r="F35" s="94">
        <f t="shared" si="1"/>
        <v>1269658.6429906543</v>
      </c>
      <c r="G35" s="95">
        <f t="shared" si="2"/>
        <v>-26364578.357009344</v>
      </c>
    </row>
    <row r="36" spans="1:7" ht="13.2" x14ac:dyDescent="0.25">
      <c r="A36" s="90">
        <v>42551</v>
      </c>
      <c r="B36" s="98"/>
      <c r="C36" s="100"/>
      <c r="D36" s="92">
        <f t="shared" si="0"/>
        <v>-27634237</v>
      </c>
      <c r="E36" s="93">
        <f t="shared" si="3"/>
        <v>-51652.779439252336</v>
      </c>
      <c r="F36" s="94">
        <f t="shared" si="1"/>
        <v>1321311.4224299067</v>
      </c>
      <c r="G36" s="95">
        <f t="shared" si="2"/>
        <v>-26312925.577570092</v>
      </c>
    </row>
    <row r="37" spans="1:7" ht="13.2" x14ac:dyDescent="0.25">
      <c r="A37" s="90">
        <v>42582</v>
      </c>
      <c r="B37" s="98"/>
      <c r="C37" s="100"/>
      <c r="D37" s="92">
        <f t="shared" si="0"/>
        <v>-27634237</v>
      </c>
      <c r="E37" s="93">
        <f t="shared" si="3"/>
        <v>-51652.779439252336</v>
      </c>
      <c r="F37" s="94">
        <f t="shared" si="1"/>
        <v>1372964.201869159</v>
      </c>
      <c r="G37" s="95">
        <f t="shared" si="2"/>
        <v>-26261272.79813084</v>
      </c>
    </row>
    <row r="38" spans="1:7" ht="13.2" x14ac:dyDescent="0.25">
      <c r="A38" s="90">
        <v>42613</v>
      </c>
      <c r="B38" s="98"/>
      <c r="C38" s="100"/>
      <c r="D38" s="92">
        <f t="shared" si="0"/>
        <v>-27634237</v>
      </c>
      <c r="E38" s="93">
        <f t="shared" si="3"/>
        <v>-51652.779439252336</v>
      </c>
      <c r="F38" s="94">
        <f t="shared" si="1"/>
        <v>1424616.9813084113</v>
      </c>
      <c r="G38" s="95">
        <f t="shared" si="2"/>
        <v>-26209620.018691588</v>
      </c>
    </row>
    <row r="39" spans="1:7" ht="13.2" x14ac:dyDescent="0.25">
      <c r="A39" s="90">
        <v>42643</v>
      </c>
      <c r="B39" s="98"/>
      <c r="C39" s="100"/>
      <c r="D39" s="92">
        <f t="shared" si="0"/>
        <v>-27634237</v>
      </c>
      <c r="E39" s="93">
        <f t="shared" si="3"/>
        <v>-51652.779439252336</v>
      </c>
      <c r="F39" s="94">
        <f t="shared" si="1"/>
        <v>1476269.7607476637</v>
      </c>
      <c r="G39" s="95">
        <f t="shared" si="2"/>
        <v>-26157967.239252336</v>
      </c>
    </row>
    <row r="40" spans="1:7" ht="13.2" x14ac:dyDescent="0.25">
      <c r="A40" s="90">
        <v>42674</v>
      </c>
      <c r="B40" s="98"/>
      <c r="C40" s="100"/>
      <c r="D40" s="92">
        <f t="shared" si="0"/>
        <v>-27634237</v>
      </c>
      <c r="E40" s="93">
        <f t="shared" si="3"/>
        <v>-51652.779439252336</v>
      </c>
      <c r="F40" s="94">
        <f t="shared" si="1"/>
        <v>1527922.540186916</v>
      </c>
      <c r="G40" s="95">
        <f t="shared" si="2"/>
        <v>-26106314.459813084</v>
      </c>
    </row>
    <row r="41" spans="1:7" ht="13.2" x14ac:dyDescent="0.25">
      <c r="A41" s="90">
        <v>42704</v>
      </c>
      <c r="B41" s="98"/>
      <c r="C41" s="100"/>
      <c r="D41" s="92">
        <f t="shared" si="0"/>
        <v>-27634237</v>
      </c>
      <c r="E41" s="93">
        <f t="shared" si="3"/>
        <v>-51652.779439252336</v>
      </c>
      <c r="F41" s="94">
        <f t="shared" si="1"/>
        <v>1579575.3196261683</v>
      </c>
      <c r="G41" s="95">
        <f t="shared" si="2"/>
        <v>-26054661.680373833</v>
      </c>
    </row>
    <row r="42" spans="1:7" ht="13.2" x14ac:dyDescent="0.25">
      <c r="A42" s="90">
        <v>42735</v>
      </c>
      <c r="B42" s="98"/>
      <c r="C42" s="100"/>
      <c r="D42" s="92">
        <f t="shared" si="0"/>
        <v>-27634237</v>
      </c>
      <c r="E42" s="93">
        <f t="shared" si="3"/>
        <v>-51652.779439252336</v>
      </c>
      <c r="F42" s="94">
        <f t="shared" si="1"/>
        <v>1631228.0990654207</v>
      </c>
      <c r="G42" s="95">
        <f t="shared" si="2"/>
        <v>-26003008.900934581</v>
      </c>
    </row>
    <row r="43" spans="1:7" ht="13.2" x14ac:dyDescent="0.25">
      <c r="A43" s="90">
        <v>42766</v>
      </c>
      <c r="B43" s="98"/>
      <c r="C43" s="100"/>
      <c r="D43" s="92">
        <f t="shared" ref="D43:D66" si="4">D42</f>
        <v>-27634237</v>
      </c>
      <c r="E43" s="93">
        <f t="shared" si="3"/>
        <v>-51652.779439252336</v>
      </c>
      <c r="F43" s="94">
        <f t="shared" ref="F43:F66" si="5">F42-E43</f>
        <v>1682880.878504673</v>
      </c>
      <c r="G43" s="95">
        <f t="shared" ref="G43:G66" si="6">D43+F43</f>
        <v>-25951356.121495329</v>
      </c>
    </row>
    <row r="44" spans="1:7" ht="13.2" x14ac:dyDescent="0.25">
      <c r="A44" s="90">
        <v>42794</v>
      </c>
      <c r="B44" s="98"/>
      <c r="C44" s="100"/>
      <c r="D44" s="92">
        <f t="shared" si="4"/>
        <v>-27634237</v>
      </c>
      <c r="E44" s="93">
        <f t="shared" ref="E44:E66" si="7">D44/535</f>
        <v>-51652.779439252336</v>
      </c>
      <c r="F44" s="94">
        <f t="shared" si="5"/>
        <v>1734533.6579439254</v>
      </c>
      <c r="G44" s="95">
        <f t="shared" si="6"/>
        <v>-25899703.342056073</v>
      </c>
    </row>
    <row r="45" spans="1:7" ht="13.2" x14ac:dyDescent="0.25">
      <c r="A45" s="90">
        <v>42825</v>
      </c>
      <c r="B45" s="98"/>
      <c r="C45" s="100"/>
      <c r="D45" s="92">
        <f t="shared" si="4"/>
        <v>-27634237</v>
      </c>
      <c r="E45" s="93">
        <f t="shared" si="7"/>
        <v>-51652.779439252336</v>
      </c>
      <c r="F45" s="94">
        <f t="shared" si="5"/>
        <v>1786186.4373831777</v>
      </c>
      <c r="G45" s="95">
        <f t="shared" si="6"/>
        <v>-25848050.562616821</v>
      </c>
    </row>
    <row r="46" spans="1:7" ht="13.2" x14ac:dyDescent="0.25">
      <c r="A46" s="90">
        <v>42855</v>
      </c>
      <c r="B46" s="98"/>
      <c r="C46" s="100"/>
      <c r="D46" s="92">
        <f t="shared" si="4"/>
        <v>-27634237</v>
      </c>
      <c r="E46" s="93">
        <f t="shared" si="7"/>
        <v>-51652.779439252336</v>
      </c>
      <c r="F46" s="94">
        <f t="shared" si="5"/>
        <v>1837839.21682243</v>
      </c>
      <c r="G46" s="95">
        <f t="shared" si="6"/>
        <v>-25796397.78317757</v>
      </c>
    </row>
    <row r="47" spans="1:7" ht="13.2" x14ac:dyDescent="0.25">
      <c r="A47" s="90">
        <v>42886</v>
      </c>
      <c r="B47" s="98"/>
      <c r="C47" s="100"/>
      <c r="D47" s="92">
        <f t="shared" si="4"/>
        <v>-27634237</v>
      </c>
      <c r="E47" s="93">
        <f t="shared" si="7"/>
        <v>-51652.779439252336</v>
      </c>
      <c r="F47" s="94">
        <f t="shared" si="5"/>
        <v>1889491.9962616824</v>
      </c>
      <c r="G47" s="95">
        <f t="shared" si="6"/>
        <v>-25744745.003738318</v>
      </c>
    </row>
    <row r="48" spans="1:7" ht="13.2" x14ac:dyDescent="0.25">
      <c r="A48" s="90">
        <v>42916</v>
      </c>
      <c r="B48" s="98"/>
      <c r="C48" s="100"/>
      <c r="D48" s="92">
        <f t="shared" si="4"/>
        <v>-27634237</v>
      </c>
      <c r="E48" s="93">
        <f t="shared" si="7"/>
        <v>-51652.779439252336</v>
      </c>
      <c r="F48" s="94">
        <f t="shared" si="5"/>
        <v>1941144.7757009347</v>
      </c>
      <c r="G48" s="95">
        <f t="shared" si="6"/>
        <v>-25693092.224299066</v>
      </c>
    </row>
    <row r="49" spans="1:8" ht="13.2" x14ac:dyDescent="0.25">
      <c r="A49" s="90">
        <v>42947</v>
      </c>
      <c r="B49" s="98"/>
      <c r="C49" s="100"/>
      <c r="D49" s="92">
        <f t="shared" si="4"/>
        <v>-27634237</v>
      </c>
      <c r="E49" s="93">
        <f t="shared" si="7"/>
        <v>-51652.779439252336</v>
      </c>
      <c r="F49" s="94">
        <f t="shared" si="5"/>
        <v>1992797.555140187</v>
      </c>
      <c r="G49" s="95">
        <f t="shared" si="6"/>
        <v>-25641439.444859814</v>
      </c>
    </row>
    <row r="50" spans="1:8" ht="13.2" x14ac:dyDescent="0.25">
      <c r="A50" s="90">
        <v>42978</v>
      </c>
      <c r="B50" s="98"/>
      <c r="C50" s="100"/>
      <c r="D50" s="92">
        <f t="shared" si="4"/>
        <v>-27634237</v>
      </c>
      <c r="E50" s="93">
        <f t="shared" si="7"/>
        <v>-51652.779439252336</v>
      </c>
      <c r="F50" s="94">
        <f t="shared" si="5"/>
        <v>2044450.3345794394</v>
      </c>
      <c r="G50" s="95">
        <f t="shared" si="6"/>
        <v>-25589786.665420562</v>
      </c>
    </row>
    <row r="51" spans="1:8" ht="13.2" x14ac:dyDescent="0.25">
      <c r="A51" s="90">
        <v>43008</v>
      </c>
      <c r="B51" s="98"/>
      <c r="C51" s="100"/>
      <c r="D51" s="92">
        <f t="shared" si="4"/>
        <v>-27634237</v>
      </c>
      <c r="E51" s="93">
        <f t="shared" si="7"/>
        <v>-51652.779439252336</v>
      </c>
      <c r="F51" s="94">
        <f t="shared" si="5"/>
        <v>2096103.1140186917</v>
      </c>
      <c r="G51" s="95">
        <f t="shared" si="6"/>
        <v>-25538133.885981306</v>
      </c>
    </row>
    <row r="52" spans="1:8" ht="13.2" x14ac:dyDescent="0.25">
      <c r="A52" s="90">
        <v>43039</v>
      </c>
      <c r="B52" s="98"/>
      <c r="C52" s="100"/>
      <c r="D52" s="92">
        <f t="shared" si="4"/>
        <v>-27634237</v>
      </c>
      <c r="E52" s="93">
        <f t="shared" si="7"/>
        <v>-51652.779439252336</v>
      </c>
      <c r="F52" s="94">
        <f t="shared" si="5"/>
        <v>2147755.893457944</v>
      </c>
      <c r="G52" s="95">
        <f t="shared" si="6"/>
        <v>-25486481.106542055</v>
      </c>
    </row>
    <row r="53" spans="1:8" ht="13.8" thickBot="1" x14ac:dyDescent="0.3">
      <c r="A53" s="90">
        <v>43069</v>
      </c>
      <c r="B53" s="98"/>
      <c r="C53" s="100"/>
      <c r="D53" s="92">
        <f t="shared" si="4"/>
        <v>-27634237</v>
      </c>
      <c r="E53" s="93">
        <f t="shared" si="7"/>
        <v>-51652.779439252336</v>
      </c>
      <c r="F53" s="94">
        <f t="shared" si="5"/>
        <v>2199408.6728971964</v>
      </c>
      <c r="G53" s="95">
        <f t="shared" si="6"/>
        <v>-25434828.327102803</v>
      </c>
      <c r="H53" s="114" t="s">
        <v>254</v>
      </c>
    </row>
    <row r="54" spans="1:8" ht="13.2" x14ac:dyDescent="0.25">
      <c r="A54" s="90">
        <v>43100</v>
      </c>
      <c r="B54" s="98"/>
      <c r="C54" s="100"/>
      <c r="D54" s="92">
        <f t="shared" si="4"/>
        <v>-27634237</v>
      </c>
      <c r="E54" s="93">
        <f t="shared" si="7"/>
        <v>-51652.779439252336</v>
      </c>
      <c r="F54" s="94">
        <f t="shared" si="5"/>
        <v>2251061.4523364487</v>
      </c>
      <c r="G54" s="95">
        <f t="shared" si="6"/>
        <v>-25383175.547663551</v>
      </c>
      <c r="H54" s="101">
        <f>(F42+F54+SUM(F43:F53)*2)/24</f>
        <v>1941144.7757009349</v>
      </c>
    </row>
    <row r="55" spans="1:8" ht="13.2" x14ac:dyDescent="0.25">
      <c r="A55" s="102">
        <v>43131</v>
      </c>
      <c r="B55" s="103"/>
      <c r="C55" s="104"/>
      <c r="D55" s="105">
        <f t="shared" si="4"/>
        <v>-27634237</v>
      </c>
      <c r="E55" s="106">
        <f t="shared" si="7"/>
        <v>-51652.779439252336</v>
      </c>
      <c r="F55" s="107">
        <f t="shared" si="5"/>
        <v>2302714.231775701</v>
      </c>
      <c r="G55" s="108">
        <f t="shared" si="6"/>
        <v>-25331522.768224299</v>
      </c>
    </row>
    <row r="56" spans="1:8" ht="13.2" x14ac:dyDescent="0.25">
      <c r="A56" s="90">
        <v>43159</v>
      </c>
      <c r="B56" s="98"/>
      <c r="C56" s="100"/>
      <c r="D56" s="92">
        <f t="shared" si="4"/>
        <v>-27634237</v>
      </c>
      <c r="E56" s="93">
        <f t="shared" si="7"/>
        <v>-51652.779439252336</v>
      </c>
      <c r="F56" s="94">
        <f t="shared" si="5"/>
        <v>2354367.0112149534</v>
      </c>
      <c r="G56" s="95">
        <f t="shared" si="6"/>
        <v>-25279869.988785047</v>
      </c>
    </row>
    <row r="57" spans="1:8" ht="13.2" x14ac:dyDescent="0.25">
      <c r="A57" s="90">
        <v>43190</v>
      </c>
      <c r="B57" s="98"/>
      <c r="C57" s="100"/>
      <c r="D57" s="92">
        <f t="shared" si="4"/>
        <v>-27634237</v>
      </c>
      <c r="E57" s="93">
        <f t="shared" si="7"/>
        <v>-51652.779439252336</v>
      </c>
      <c r="F57" s="94">
        <f t="shared" si="5"/>
        <v>2406019.7906542057</v>
      </c>
      <c r="G57" s="95">
        <f t="shared" si="6"/>
        <v>-25228217.209345795</v>
      </c>
    </row>
    <row r="58" spans="1:8" ht="13.2" x14ac:dyDescent="0.25">
      <c r="A58" s="90">
        <v>43220</v>
      </c>
      <c r="B58" s="98"/>
      <c r="C58" s="100"/>
      <c r="D58" s="92">
        <f t="shared" si="4"/>
        <v>-27634237</v>
      </c>
      <c r="E58" s="93">
        <f t="shared" si="7"/>
        <v>-51652.779439252336</v>
      </c>
      <c r="F58" s="94">
        <f t="shared" si="5"/>
        <v>2457672.5700934581</v>
      </c>
      <c r="G58" s="95">
        <f t="shared" si="6"/>
        <v>-25176564.429906543</v>
      </c>
    </row>
    <row r="59" spans="1:8" ht="13.2" x14ac:dyDescent="0.25">
      <c r="A59" s="90">
        <v>43251</v>
      </c>
      <c r="B59" s="98"/>
      <c r="C59" s="100"/>
      <c r="D59" s="92">
        <f t="shared" si="4"/>
        <v>-27634237</v>
      </c>
      <c r="E59" s="93">
        <f t="shared" si="7"/>
        <v>-51652.779439252336</v>
      </c>
      <c r="F59" s="94">
        <f t="shared" si="5"/>
        <v>2509325.3495327104</v>
      </c>
      <c r="G59" s="95">
        <f t="shared" si="6"/>
        <v>-25124911.650467291</v>
      </c>
    </row>
    <row r="60" spans="1:8" ht="13.2" x14ac:dyDescent="0.25">
      <c r="A60" s="90">
        <v>43281</v>
      </c>
      <c r="B60" s="98"/>
      <c r="C60" s="100"/>
      <c r="D60" s="92">
        <f t="shared" si="4"/>
        <v>-27634237</v>
      </c>
      <c r="E60" s="93">
        <f t="shared" si="7"/>
        <v>-51652.779439252336</v>
      </c>
      <c r="F60" s="94">
        <f t="shared" si="5"/>
        <v>2560978.1289719627</v>
      </c>
      <c r="G60" s="95">
        <f t="shared" si="6"/>
        <v>-25073258.871028036</v>
      </c>
    </row>
    <row r="61" spans="1:8" ht="13.2" x14ac:dyDescent="0.25">
      <c r="A61" s="90">
        <v>43312</v>
      </c>
      <c r="B61" s="98"/>
      <c r="C61" s="100"/>
      <c r="D61" s="92">
        <f t="shared" si="4"/>
        <v>-27634237</v>
      </c>
      <c r="E61" s="93">
        <f t="shared" si="7"/>
        <v>-51652.779439252336</v>
      </c>
      <c r="F61" s="94">
        <f t="shared" si="5"/>
        <v>2612630.9084112151</v>
      </c>
      <c r="G61" s="95">
        <f t="shared" si="6"/>
        <v>-25021606.091588784</v>
      </c>
    </row>
    <row r="62" spans="1:8" ht="13.2" x14ac:dyDescent="0.25">
      <c r="A62" s="90">
        <v>43343</v>
      </c>
      <c r="B62" s="98"/>
      <c r="C62" s="100"/>
      <c r="D62" s="92">
        <f t="shared" si="4"/>
        <v>-27634237</v>
      </c>
      <c r="E62" s="93">
        <f t="shared" si="7"/>
        <v>-51652.779439252336</v>
      </c>
      <c r="F62" s="94">
        <f t="shared" si="5"/>
        <v>2664283.6878504674</v>
      </c>
      <c r="G62" s="95">
        <f t="shared" si="6"/>
        <v>-24969953.312149532</v>
      </c>
    </row>
    <row r="63" spans="1:8" ht="13.2" x14ac:dyDescent="0.25">
      <c r="A63" s="90">
        <v>43373</v>
      </c>
      <c r="B63" s="98"/>
      <c r="C63" s="100"/>
      <c r="D63" s="92">
        <f t="shared" si="4"/>
        <v>-27634237</v>
      </c>
      <c r="E63" s="93">
        <f t="shared" si="7"/>
        <v>-51652.779439252336</v>
      </c>
      <c r="F63" s="94">
        <f t="shared" si="5"/>
        <v>2715936.4672897197</v>
      </c>
      <c r="G63" s="95">
        <f t="shared" si="6"/>
        <v>-24918300.53271028</v>
      </c>
    </row>
    <row r="64" spans="1:8" ht="13.2" x14ac:dyDescent="0.25">
      <c r="A64" s="90">
        <v>43404</v>
      </c>
      <c r="B64" s="98"/>
      <c r="C64" s="100"/>
      <c r="D64" s="92">
        <f t="shared" si="4"/>
        <v>-27634237</v>
      </c>
      <c r="E64" s="93">
        <f t="shared" si="7"/>
        <v>-51652.779439252336</v>
      </c>
      <c r="F64" s="94">
        <f t="shared" si="5"/>
        <v>2767589.2467289721</v>
      </c>
      <c r="G64" s="95">
        <f t="shared" si="6"/>
        <v>-24866647.753271028</v>
      </c>
    </row>
    <row r="65" spans="1:8" ht="13.8" thickBot="1" x14ac:dyDescent="0.3">
      <c r="A65" s="90">
        <v>43434</v>
      </c>
      <c r="B65" s="98"/>
      <c r="C65" s="100"/>
      <c r="D65" s="92">
        <f t="shared" si="4"/>
        <v>-27634237</v>
      </c>
      <c r="E65" s="93">
        <f t="shared" si="7"/>
        <v>-51652.779439252336</v>
      </c>
      <c r="F65" s="94">
        <f t="shared" si="5"/>
        <v>2819242.0261682244</v>
      </c>
      <c r="G65" s="95">
        <f t="shared" si="6"/>
        <v>-24814994.973831777</v>
      </c>
      <c r="H65" s="114" t="s">
        <v>254</v>
      </c>
    </row>
    <row r="66" spans="1:8" ht="13.2" x14ac:dyDescent="0.25">
      <c r="A66" s="109">
        <v>43465</v>
      </c>
      <c r="B66" s="110"/>
      <c r="C66" s="110"/>
      <c r="D66" s="111">
        <f t="shared" si="4"/>
        <v>-27634237</v>
      </c>
      <c r="E66" s="112">
        <f t="shared" si="7"/>
        <v>-51652.779439252336</v>
      </c>
      <c r="F66" s="113">
        <f t="shared" si="5"/>
        <v>2870894.8056074767</v>
      </c>
      <c r="G66" s="89">
        <f t="shared" si="6"/>
        <v>-24763342.194392525</v>
      </c>
      <c r="H66" s="101">
        <f>(F54+F66+SUM(F55:F65)*2)/24</f>
        <v>2560978.1289719627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85" zoomScaleNormal="85" workbookViewId="0">
      <pane xSplit="1" ySplit="9" topLeftCell="B1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09375" defaultRowHeight="10.199999999999999" x14ac:dyDescent="0.2"/>
  <cols>
    <col min="1" max="1" width="28.88671875" style="69" customWidth="1"/>
    <col min="2" max="2" width="9.109375" style="69"/>
    <col min="3" max="4" width="15.6640625" style="69" bestFit="1" customWidth="1"/>
    <col min="5" max="5" width="20.88671875" style="69" bestFit="1" customWidth="1"/>
    <col min="6" max="6" width="21.44140625" style="69" bestFit="1" customWidth="1"/>
    <col min="7" max="7" width="19.109375" style="69" bestFit="1" customWidth="1"/>
    <col min="8" max="8" width="13.109375" style="69" bestFit="1" customWidth="1"/>
    <col min="9" max="14" width="9.109375" style="69"/>
    <col min="15" max="15" width="14.6640625" style="69" bestFit="1" customWidth="1"/>
    <col min="16" max="16" width="15.33203125" style="69" customWidth="1"/>
    <col min="17" max="18" width="15.33203125" style="69" bestFit="1" customWidth="1"/>
    <col min="19" max="16384" width="9.109375" style="69"/>
  </cols>
  <sheetData>
    <row r="1" spans="1:7" ht="13.2" x14ac:dyDescent="0.25">
      <c r="B1" s="70"/>
      <c r="C1" s="70"/>
      <c r="D1" s="70"/>
      <c r="E1" s="70"/>
      <c r="F1" s="70"/>
      <c r="G1" s="70"/>
    </row>
    <row r="2" spans="1:7" ht="13.2" x14ac:dyDescent="0.25">
      <c r="A2" s="71" t="s">
        <v>315</v>
      </c>
      <c r="B2" s="70"/>
      <c r="C2" s="70"/>
      <c r="D2" s="70"/>
      <c r="E2" s="70"/>
      <c r="F2" s="70"/>
      <c r="G2" s="70"/>
    </row>
    <row r="3" spans="1:7" ht="13.2" x14ac:dyDescent="0.25">
      <c r="A3" s="71" t="s">
        <v>314</v>
      </c>
      <c r="B3" s="70"/>
      <c r="C3" s="70"/>
      <c r="D3" s="70"/>
      <c r="E3" s="70"/>
      <c r="F3" s="70"/>
      <c r="G3" s="70"/>
    </row>
    <row r="4" spans="1:7" ht="13.2" x14ac:dyDescent="0.25">
      <c r="A4" s="71" t="s">
        <v>535</v>
      </c>
      <c r="B4" s="70"/>
      <c r="C4" s="70"/>
      <c r="D4" s="70"/>
      <c r="E4" s="70"/>
      <c r="F4" s="70"/>
      <c r="G4" s="70"/>
    </row>
    <row r="6" spans="1:7" ht="13.2" x14ac:dyDescent="0.25">
      <c r="A6" s="72"/>
      <c r="B6" s="73"/>
      <c r="C6" s="74" t="s">
        <v>311</v>
      </c>
      <c r="D6" s="74" t="s">
        <v>272</v>
      </c>
      <c r="E6" s="74" t="s">
        <v>310</v>
      </c>
      <c r="F6" s="74" t="s">
        <v>309</v>
      </c>
      <c r="G6" s="75" t="s">
        <v>308</v>
      </c>
    </row>
    <row r="7" spans="1:7" ht="13.2" x14ac:dyDescent="0.25">
      <c r="A7" s="76" t="s">
        <v>307</v>
      </c>
      <c r="B7" s="77"/>
      <c r="C7" s="78" t="s">
        <v>306</v>
      </c>
      <c r="D7" s="78"/>
      <c r="E7" s="78" t="s">
        <v>305</v>
      </c>
      <c r="F7" s="78" t="s">
        <v>305</v>
      </c>
      <c r="G7" s="79" t="s">
        <v>304</v>
      </c>
    </row>
    <row r="8" spans="1:7" ht="13.2" x14ac:dyDescent="0.25">
      <c r="A8" s="76"/>
      <c r="B8" s="77"/>
      <c r="C8" s="78" t="s">
        <v>303</v>
      </c>
      <c r="D8" s="78" t="s">
        <v>302</v>
      </c>
      <c r="E8" s="78" t="s">
        <v>301</v>
      </c>
      <c r="F8" s="78" t="s">
        <v>300</v>
      </c>
      <c r="G8" s="79" t="s">
        <v>299</v>
      </c>
    </row>
    <row r="9" spans="1:7" ht="13.2" x14ac:dyDescent="0.25">
      <c r="A9" s="76"/>
      <c r="B9" s="77"/>
      <c r="C9" s="78"/>
      <c r="D9" s="80"/>
      <c r="E9" s="80"/>
      <c r="F9" s="78"/>
      <c r="G9" s="79"/>
    </row>
    <row r="10" spans="1:7" x14ac:dyDescent="0.2">
      <c r="A10" s="81"/>
      <c r="B10" s="82"/>
      <c r="C10" s="82"/>
      <c r="D10" s="82"/>
      <c r="E10" s="82"/>
      <c r="F10" s="82"/>
      <c r="G10" s="83"/>
    </row>
    <row r="11" spans="1:7" ht="13.2" x14ac:dyDescent="0.25">
      <c r="A11" s="84"/>
      <c r="B11" s="85"/>
      <c r="C11" s="86">
        <v>-80241567</v>
      </c>
      <c r="D11" s="87">
        <f>C11</f>
        <v>-80241567</v>
      </c>
      <c r="E11" s="87"/>
      <c r="F11" s="88"/>
      <c r="G11" s="89"/>
    </row>
    <row r="12" spans="1:7" ht="13.2" x14ac:dyDescent="0.25">
      <c r="A12" s="90" t="s">
        <v>298</v>
      </c>
      <c r="B12" s="77"/>
      <c r="C12" s="91"/>
      <c r="D12" s="92">
        <f t="shared" ref="D12:D43" si="0">D11</f>
        <v>-80241567</v>
      </c>
      <c r="E12" s="93">
        <f>D12/535/31*18</f>
        <v>-87087.621706361169</v>
      </c>
      <c r="F12" s="94">
        <f t="shared" ref="F12:F43" si="1">F11-E12</f>
        <v>87087.621706361169</v>
      </c>
      <c r="G12" s="95">
        <f t="shared" ref="G12:G43" si="2">D12+F12</f>
        <v>-80154479.378293633</v>
      </c>
    </row>
    <row r="13" spans="1:7" ht="13.2" x14ac:dyDescent="0.25">
      <c r="A13" s="90">
        <v>41820</v>
      </c>
      <c r="B13" s="77"/>
      <c r="C13" s="91"/>
      <c r="D13" s="92">
        <f t="shared" si="0"/>
        <v>-80241567</v>
      </c>
      <c r="E13" s="93">
        <f t="shared" ref="E13:E44" si="3">D13/535</f>
        <v>-149984.23738317756</v>
      </c>
      <c r="F13" s="94">
        <f t="shared" si="1"/>
        <v>237071.85908953875</v>
      </c>
      <c r="G13" s="95">
        <f t="shared" si="2"/>
        <v>-80004495.140910462</v>
      </c>
    </row>
    <row r="14" spans="1:7" ht="13.2" x14ac:dyDescent="0.25">
      <c r="A14" s="90">
        <v>41851</v>
      </c>
      <c r="B14" s="77"/>
      <c r="C14" s="91"/>
      <c r="D14" s="92">
        <f t="shared" si="0"/>
        <v>-80241567</v>
      </c>
      <c r="E14" s="93">
        <f t="shared" si="3"/>
        <v>-149984.23738317756</v>
      </c>
      <c r="F14" s="94">
        <f t="shared" si="1"/>
        <v>387056.09647271631</v>
      </c>
      <c r="G14" s="95">
        <f t="shared" si="2"/>
        <v>-79854510.90352729</v>
      </c>
    </row>
    <row r="15" spans="1:7" ht="13.2" x14ac:dyDescent="0.25">
      <c r="A15" s="90">
        <v>41882</v>
      </c>
      <c r="B15" s="77"/>
      <c r="C15" s="91"/>
      <c r="D15" s="92">
        <f t="shared" si="0"/>
        <v>-80241567</v>
      </c>
      <c r="E15" s="93">
        <f t="shared" si="3"/>
        <v>-149984.23738317756</v>
      </c>
      <c r="F15" s="94">
        <f t="shared" si="1"/>
        <v>537040.33385589393</v>
      </c>
      <c r="G15" s="95">
        <f t="shared" si="2"/>
        <v>-79704526.666144103</v>
      </c>
    </row>
    <row r="16" spans="1:7" ht="13.2" x14ac:dyDescent="0.25">
      <c r="A16" s="90">
        <v>41912</v>
      </c>
      <c r="B16" s="77"/>
      <c r="C16" s="91"/>
      <c r="D16" s="92">
        <f t="shared" si="0"/>
        <v>-80241567</v>
      </c>
      <c r="E16" s="93">
        <f t="shared" si="3"/>
        <v>-149984.23738317756</v>
      </c>
      <c r="F16" s="94">
        <f t="shared" si="1"/>
        <v>687024.57123907143</v>
      </c>
      <c r="G16" s="95">
        <f t="shared" si="2"/>
        <v>-79554542.428760931</v>
      </c>
    </row>
    <row r="17" spans="1:7" ht="13.2" x14ac:dyDescent="0.25">
      <c r="A17" s="90">
        <v>41943</v>
      </c>
      <c r="B17" s="77"/>
      <c r="C17" s="91"/>
      <c r="D17" s="92">
        <f t="shared" si="0"/>
        <v>-80241567</v>
      </c>
      <c r="E17" s="93">
        <f t="shared" si="3"/>
        <v>-149984.23738317756</v>
      </c>
      <c r="F17" s="94">
        <f t="shared" si="1"/>
        <v>837008.80862224894</v>
      </c>
      <c r="G17" s="95">
        <f t="shared" si="2"/>
        <v>-79404558.191377744</v>
      </c>
    </row>
    <row r="18" spans="1:7" ht="13.2" x14ac:dyDescent="0.25">
      <c r="A18" s="90">
        <v>41973</v>
      </c>
      <c r="B18" s="77"/>
      <c r="C18" s="91"/>
      <c r="D18" s="92">
        <f t="shared" si="0"/>
        <v>-80241567</v>
      </c>
      <c r="E18" s="93">
        <f t="shared" si="3"/>
        <v>-149984.23738317756</v>
      </c>
      <c r="F18" s="94">
        <f t="shared" si="1"/>
        <v>986993.04600542644</v>
      </c>
      <c r="G18" s="95">
        <f t="shared" si="2"/>
        <v>-79254573.953994572</v>
      </c>
    </row>
    <row r="19" spans="1:7" ht="13.2" x14ac:dyDescent="0.25">
      <c r="A19" s="90">
        <v>42004</v>
      </c>
      <c r="B19" s="77"/>
      <c r="C19" s="91"/>
      <c r="D19" s="92">
        <f t="shared" si="0"/>
        <v>-80241567</v>
      </c>
      <c r="E19" s="93">
        <f t="shared" si="3"/>
        <v>-149984.23738317756</v>
      </c>
      <c r="F19" s="94">
        <f t="shared" si="1"/>
        <v>1136977.2833886039</v>
      </c>
      <c r="G19" s="95">
        <f t="shared" si="2"/>
        <v>-79104589.7166114</v>
      </c>
    </row>
    <row r="20" spans="1:7" ht="13.2" x14ac:dyDescent="0.25">
      <c r="A20" s="90">
        <v>42035</v>
      </c>
      <c r="B20" s="77"/>
      <c r="C20" s="91"/>
      <c r="D20" s="92">
        <f t="shared" si="0"/>
        <v>-80241567</v>
      </c>
      <c r="E20" s="93">
        <f t="shared" si="3"/>
        <v>-149984.23738317756</v>
      </c>
      <c r="F20" s="94">
        <f t="shared" si="1"/>
        <v>1286961.5207717814</v>
      </c>
      <c r="G20" s="95">
        <f t="shared" si="2"/>
        <v>-78954605.479228213</v>
      </c>
    </row>
    <row r="21" spans="1:7" ht="13.2" x14ac:dyDescent="0.25">
      <c r="A21" s="90">
        <v>42063</v>
      </c>
      <c r="B21" s="77"/>
      <c r="C21" s="91"/>
      <c r="D21" s="92">
        <f t="shared" si="0"/>
        <v>-80241567</v>
      </c>
      <c r="E21" s="93">
        <f t="shared" si="3"/>
        <v>-149984.23738317756</v>
      </c>
      <c r="F21" s="94">
        <f t="shared" si="1"/>
        <v>1436945.758154959</v>
      </c>
      <c r="G21" s="95">
        <f t="shared" si="2"/>
        <v>-78804621.241845042</v>
      </c>
    </row>
    <row r="22" spans="1:7" ht="13.2" x14ac:dyDescent="0.25">
      <c r="A22" s="90">
        <v>42094</v>
      </c>
      <c r="B22" s="96"/>
      <c r="C22" s="97"/>
      <c r="D22" s="92">
        <f t="shared" si="0"/>
        <v>-80241567</v>
      </c>
      <c r="E22" s="93">
        <f t="shared" si="3"/>
        <v>-149984.23738317756</v>
      </c>
      <c r="F22" s="94">
        <f t="shared" si="1"/>
        <v>1586929.9955381365</v>
      </c>
      <c r="G22" s="95">
        <f t="shared" si="2"/>
        <v>-78654637.00446187</v>
      </c>
    </row>
    <row r="23" spans="1:7" ht="13.2" x14ac:dyDescent="0.25">
      <c r="A23" s="90">
        <v>42124</v>
      </c>
      <c r="B23" s="98"/>
      <c r="C23" s="97"/>
      <c r="D23" s="92">
        <f t="shared" si="0"/>
        <v>-80241567</v>
      </c>
      <c r="E23" s="93">
        <f t="shared" si="3"/>
        <v>-149984.23738317756</v>
      </c>
      <c r="F23" s="94">
        <f t="shared" si="1"/>
        <v>1736914.232921314</v>
      </c>
      <c r="G23" s="95">
        <f t="shared" si="2"/>
        <v>-78504652.767078683</v>
      </c>
    </row>
    <row r="24" spans="1:7" ht="13.2" x14ac:dyDescent="0.25">
      <c r="A24" s="90">
        <v>42155</v>
      </c>
      <c r="B24" s="98"/>
      <c r="C24" s="97"/>
      <c r="D24" s="92">
        <f t="shared" si="0"/>
        <v>-80241567</v>
      </c>
      <c r="E24" s="93">
        <f t="shared" si="3"/>
        <v>-149984.23738317756</v>
      </c>
      <c r="F24" s="94">
        <f t="shared" si="1"/>
        <v>1886898.4703044915</v>
      </c>
      <c r="G24" s="95">
        <f t="shared" si="2"/>
        <v>-78354668.529695511</v>
      </c>
    </row>
    <row r="25" spans="1:7" ht="13.2" x14ac:dyDescent="0.25">
      <c r="A25" s="90">
        <v>42185</v>
      </c>
      <c r="B25" s="98"/>
      <c r="C25" s="97"/>
      <c r="D25" s="92">
        <f t="shared" si="0"/>
        <v>-80241567</v>
      </c>
      <c r="E25" s="93">
        <f t="shared" si="3"/>
        <v>-149984.23738317756</v>
      </c>
      <c r="F25" s="94">
        <f t="shared" si="1"/>
        <v>2036882.707687669</v>
      </c>
      <c r="G25" s="95">
        <f t="shared" si="2"/>
        <v>-78204684.292312324</v>
      </c>
    </row>
    <row r="26" spans="1:7" ht="13.2" x14ac:dyDescent="0.25">
      <c r="A26" s="90">
        <v>42216</v>
      </c>
      <c r="B26" s="98"/>
      <c r="C26" s="97"/>
      <c r="D26" s="92">
        <f t="shared" si="0"/>
        <v>-80241567</v>
      </c>
      <c r="E26" s="93">
        <f t="shared" si="3"/>
        <v>-149984.23738317756</v>
      </c>
      <c r="F26" s="94">
        <f t="shared" si="1"/>
        <v>2186866.9450708465</v>
      </c>
      <c r="G26" s="95">
        <f t="shared" si="2"/>
        <v>-78054700.054929152</v>
      </c>
    </row>
    <row r="27" spans="1:7" ht="13.2" x14ac:dyDescent="0.25">
      <c r="A27" s="90">
        <v>42247</v>
      </c>
      <c r="B27" s="99"/>
      <c r="C27" s="97"/>
      <c r="D27" s="92">
        <f t="shared" si="0"/>
        <v>-80241567</v>
      </c>
      <c r="E27" s="93">
        <f t="shared" si="3"/>
        <v>-149984.23738317756</v>
      </c>
      <c r="F27" s="94">
        <f t="shared" si="1"/>
        <v>2336851.182454024</v>
      </c>
      <c r="G27" s="95">
        <f t="shared" si="2"/>
        <v>-77904715.81754598</v>
      </c>
    </row>
    <row r="28" spans="1:7" ht="13.2" x14ac:dyDescent="0.25">
      <c r="A28" s="90">
        <v>42277</v>
      </c>
      <c r="B28" s="98"/>
      <c r="C28" s="97"/>
      <c r="D28" s="92">
        <f t="shared" si="0"/>
        <v>-80241567</v>
      </c>
      <c r="E28" s="93">
        <f t="shared" si="3"/>
        <v>-149984.23738317756</v>
      </c>
      <c r="F28" s="94">
        <f t="shared" si="1"/>
        <v>2486835.4198372015</v>
      </c>
      <c r="G28" s="95">
        <f t="shared" si="2"/>
        <v>-77754731.580162793</v>
      </c>
    </row>
    <row r="29" spans="1:7" ht="13.2" x14ac:dyDescent="0.25">
      <c r="A29" s="90">
        <v>42308</v>
      </c>
      <c r="B29" s="98"/>
      <c r="C29" s="97"/>
      <c r="D29" s="92">
        <f t="shared" si="0"/>
        <v>-80241567</v>
      </c>
      <c r="E29" s="93">
        <f t="shared" si="3"/>
        <v>-149984.23738317756</v>
      </c>
      <c r="F29" s="94">
        <f t="shared" si="1"/>
        <v>2636819.657220379</v>
      </c>
      <c r="G29" s="95">
        <f t="shared" si="2"/>
        <v>-77604747.342779621</v>
      </c>
    </row>
    <row r="30" spans="1:7" ht="13.2" x14ac:dyDescent="0.25">
      <c r="A30" s="90">
        <v>42338</v>
      </c>
      <c r="B30" s="98"/>
      <c r="C30" s="97"/>
      <c r="D30" s="92">
        <f t="shared" si="0"/>
        <v>-80241567</v>
      </c>
      <c r="E30" s="93">
        <f t="shared" si="3"/>
        <v>-149984.23738317756</v>
      </c>
      <c r="F30" s="94">
        <f t="shared" si="1"/>
        <v>2786803.8946035565</v>
      </c>
      <c r="G30" s="95">
        <f t="shared" si="2"/>
        <v>-77454763.10539645</v>
      </c>
    </row>
    <row r="31" spans="1:7" ht="13.2" x14ac:dyDescent="0.25">
      <c r="A31" s="90">
        <v>42369</v>
      </c>
      <c r="B31" s="98"/>
      <c r="C31" s="100"/>
      <c r="D31" s="92">
        <f t="shared" si="0"/>
        <v>-80241567</v>
      </c>
      <c r="E31" s="93">
        <f t="shared" si="3"/>
        <v>-149984.23738317756</v>
      </c>
      <c r="F31" s="94">
        <f t="shared" si="1"/>
        <v>2936788.131986734</v>
      </c>
      <c r="G31" s="95">
        <f t="shared" si="2"/>
        <v>-77304778.868013263</v>
      </c>
    </row>
    <row r="32" spans="1:7" ht="13.2" x14ac:dyDescent="0.25">
      <c r="A32" s="90">
        <v>42400</v>
      </c>
      <c r="B32" s="98"/>
      <c r="C32" s="100"/>
      <c r="D32" s="92">
        <f t="shared" si="0"/>
        <v>-80241567</v>
      </c>
      <c r="E32" s="93">
        <f t="shared" si="3"/>
        <v>-149984.23738317756</v>
      </c>
      <c r="F32" s="94">
        <f t="shared" si="1"/>
        <v>3086772.3693699115</v>
      </c>
      <c r="G32" s="95">
        <f t="shared" si="2"/>
        <v>-77154794.630630091</v>
      </c>
    </row>
    <row r="33" spans="1:7" ht="13.2" x14ac:dyDescent="0.25">
      <c r="A33" s="90">
        <v>42428</v>
      </c>
      <c r="B33" s="98"/>
      <c r="C33" s="100"/>
      <c r="D33" s="92">
        <f t="shared" si="0"/>
        <v>-80241567</v>
      </c>
      <c r="E33" s="93">
        <f t="shared" si="3"/>
        <v>-149984.23738317756</v>
      </c>
      <c r="F33" s="94">
        <f t="shared" si="1"/>
        <v>3236756.606753089</v>
      </c>
      <c r="G33" s="95">
        <f t="shared" si="2"/>
        <v>-77004810.393246904</v>
      </c>
    </row>
    <row r="34" spans="1:7" ht="13.2" x14ac:dyDescent="0.25">
      <c r="A34" s="90">
        <v>42460</v>
      </c>
      <c r="B34" s="98"/>
      <c r="C34" s="100"/>
      <c r="D34" s="92">
        <f t="shared" si="0"/>
        <v>-80241567</v>
      </c>
      <c r="E34" s="93">
        <f t="shared" si="3"/>
        <v>-149984.23738317756</v>
      </c>
      <c r="F34" s="94">
        <f t="shared" si="1"/>
        <v>3386740.8441362665</v>
      </c>
      <c r="G34" s="95">
        <f t="shared" si="2"/>
        <v>-76854826.155863732</v>
      </c>
    </row>
    <row r="35" spans="1:7" ht="13.2" x14ac:dyDescent="0.25">
      <c r="A35" s="90">
        <v>42490</v>
      </c>
      <c r="B35" s="98"/>
      <c r="C35" s="100"/>
      <c r="D35" s="92">
        <f t="shared" si="0"/>
        <v>-80241567</v>
      </c>
      <c r="E35" s="93">
        <f t="shared" si="3"/>
        <v>-149984.23738317756</v>
      </c>
      <c r="F35" s="94">
        <f t="shared" si="1"/>
        <v>3536725.081519444</v>
      </c>
      <c r="G35" s="95">
        <f t="shared" si="2"/>
        <v>-76704841.91848056</v>
      </c>
    </row>
    <row r="36" spans="1:7" ht="13.2" x14ac:dyDescent="0.25">
      <c r="A36" s="90">
        <v>42521</v>
      </c>
      <c r="B36" s="98"/>
      <c r="C36" s="100"/>
      <c r="D36" s="92">
        <f t="shared" si="0"/>
        <v>-80241567</v>
      </c>
      <c r="E36" s="93">
        <f t="shared" si="3"/>
        <v>-149984.23738317756</v>
      </c>
      <c r="F36" s="94">
        <f t="shared" si="1"/>
        <v>3686709.3189026215</v>
      </c>
      <c r="G36" s="95">
        <f t="shared" si="2"/>
        <v>-76554857.681097373</v>
      </c>
    </row>
    <row r="37" spans="1:7" ht="13.2" x14ac:dyDescent="0.25">
      <c r="A37" s="90">
        <v>42551</v>
      </c>
      <c r="B37" s="98"/>
      <c r="C37" s="100"/>
      <c r="D37" s="92">
        <f t="shared" si="0"/>
        <v>-80241567</v>
      </c>
      <c r="E37" s="93">
        <f t="shared" si="3"/>
        <v>-149984.23738317756</v>
      </c>
      <c r="F37" s="94">
        <f t="shared" si="1"/>
        <v>3836693.556285799</v>
      </c>
      <c r="G37" s="95">
        <f t="shared" si="2"/>
        <v>-76404873.443714201</v>
      </c>
    </row>
    <row r="38" spans="1:7" ht="13.2" x14ac:dyDescent="0.25">
      <c r="A38" s="90">
        <v>42582</v>
      </c>
      <c r="B38" s="98"/>
      <c r="C38" s="100"/>
      <c r="D38" s="92">
        <f t="shared" si="0"/>
        <v>-80241567</v>
      </c>
      <c r="E38" s="93">
        <f t="shared" si="3"/>
        <v>-149984.23738317756</v>
      </c>
      <c r="F38" s="94">
        <f t="shared" si="1"/>
        <v>3986677.7936689765</v>
      </c>
      <c r="G38" s="95">
        <f t="shared" si="2"/>
        <v>-76254889.20633103</v>
      </c>
    </row>
    <row r="39" spans="1:7" ht="13.2" x14ac:dyDescent="0.25">
      <c r="A39" s="90">
        <v>42613</v>
      </c>
      <c r="B39" s="98"/>
      <c r="C39" s="100"/>
      <c r="D39" s="92">
        <f t="shared" si="0"/>
        <v>-80241567</v>
      </c>
      <c r="E39" s="93">
        <f t="shared" si="3"/>
        <v>-149984.23738317756</v>
      </c>
      <c r="F39" s="94">
        <f t="shared" si="1"/>
        <v>4136662.031052154</v>
      </c>
      <c r="G39" s="95">
        <f t="shared" si="2"/>
        <v>-76104904.968947843</v>
      </c>
    </row>
    <row r="40" spans="1:7" ht="13.2" x14ac:dyDescent="0.25">
      <c r="A40" s="90">
        <v>42643</v>
      </c>
      <c r="B40" s="98"/>
      <c r="C40" s="100"/>
      <c r="D40" s="92">
        <f t="shared" si="0"/>
        <v>-80241567</v>
      </c>
      <c r="E40" s="93">
        <f t="shared" si="3"/>
        <v>-149984.23738317756</v>
      </c>
      <c r="F40" s="94">
        <f t="shared" si="1"/>
        <v>4286646.268435332</v>
      </c>
      <c r="G40" s="95">
        <f t="shared" si="2"/>
        <v>-75954920.731564671</v>
      </c>
    </row>
    <row r="41" spans="1:7" ht="13.2" x14ac:dyDescent="0.25">
      <c r="A41" s="90">
        <v>42674</v>
      </c>
      <c r="B41" s="98"/>
      <c r="C41" s="100"/>
      <c r="D41" s="92">
        <f t="shared" si="0"/>
        <v>-80241567</v>
      </c>
      <c r="E41" s="93">
        <f t="shared" si="3"/>
        <v>-149984.23738317756</v>
      </c>
      <c r="F41" s="94">
        <f t="shared" si="1"/>
        <v>4436630.5058185095</v>
      </c>
      <c r="G41" s="95">
        <f t="shared" si="2"/>
        <v>-75804936.494181484</v>
      </c>
    </row>
    <row r="42" spans="1:7" ht="13.2" x14ac:dyDescent="0.25">
      <c r="A42" s="90">
        <v>42704</v>
      </c>
      <c r="B42" s="98"/>
      <c r="C42" s="100"/>
      <c r="D42" s="92">
        <f t="shared" si="0"/>
        <v>-80241567</v>
      </c>
      <c r="E42" s="93">
        <f t="shared" si="3"/>
        <v>-149984.23738317756</v>
      </c>
      <c r="F42" s="94">
        <f t="shared" si="1"/>
        <v>4586614.743201687</v>
      </c>
      <c r="G42" s="95">
        <f t="shared" si="2"/>
        <v>-75654952.256798312</v>
      </c>
    </row>
    <row r="43" spans="1:7" ht="13.2" x14ac:dyDescent="0.25">
      <c r="A43" s="90">
        <v>42735</v>
      </c>
      <c r="B43" s="98"/>
      <c r="C43" s="100"/>
      <c r="D43" s="92">
        <f t="shared" si="0"/>
        <v>-80241567</v>
      </c>
      <c r="E43" s="93">
        <f t="shared" si="3"/>
        <v>-149984.23738317756</v>
      </c>
      <c r="F43" s="94">
        <f t="shared" si="1"/>
        <v>4736598.9805848645</v>
      </c>
      <c r="G43" s="95">
        <f t="shared" si="2"/>
        <v>-75504968.01941514</v>
      </c>
    </row>
    <row r="44" spans="1:7" ht="13.2" x14ac:dyDescent="0.25">
      <c r="A44" s="90">
        <v>42766</v>
      </c>
      <c r="B44" s="98"/>
      <c r="C44" s="100"/>
      <c r="D44" s="92">
        <f t="shared" ref="D44:D67" si="4">D43</f>
        <v>-80241567</v>
      </c>
      <c r="E44" s="93">
        <f t="shared" si="3"/>
        <v>-149984.23738317756</v>
      </c>
      <c r="F44" s="94">
        <f t="shared" ref="F44:F67" si="5">F43-E44</f>
        <v>4886583.217968042</v>
      </c>
      <c r="G44" s="95">
        <f t="shared" ref="G44:G67" si="6">D44+F44</f>
        <v>-75354983.782031953</v>
      </c>
    </row>
    <row r="45" spans="1:7" ht="13.2" x14ac:dyDescent="0.25">
      <c r="A45" s="90">
        <v>42794</v>
      </c>
      <c r="B45" s="98"/>
      <c r="C45" s="100"/>
      <c r="D45" s="92">
        <f t="shared" si="4"/>
        <v>-80241567</v>
      </c>
      <c r="E45" s="93">
        <f t="shared" ref="E45:E67" si="7">D45/535</f>
        <v>-149984.23738317756</v>
      </c>
      <c r="F45" s="94">
        <f t="shared" si="5"/>
        <v>5036567.4553512195</v>
      </c>
      <c r="G45" s="95">
        <f t="shared" si="6"/>
        <v>-75204999.544648781</v>
      </c>
    </row>
    <row r="46" spans="1:7" ht="13.2" x14ac:dyDescent="0.25">
      <c r="A46" s="90">
        <v>42825</v>
      </c>
      <c r="B46" s="98"/>
      <c r="C46" s="100"/>
      <c r="D46" s="92">
        <f t="shared" si="4"/>
        <v>-80241567</v>
      </c>
      <c r="E46" s="93">
        <f t="shared" si="7"/>
        <v>-149984.23738317756</v>
      </c>
      <c r="F46" s="94">
        <f t="shared" si="5"/>
        <v>5186551.692734397</v>
      </c>
      <c r="G46" s="95">
        <f t="shared" si="6"/>
        <v>-75055015.30726561</v>
      </c>
    </row>
    <row r="47" spans="1:7" ht="13.2" x14ac:dyDescent="0.25">
      <c r="A47" s="90">
        <v>42855</v>
      </c>
      <c r="B47" s="98"/>
      <c r="C47" s="100"/>
      <c r="D47" s="92">
        <f t="shared" si="4"/>
        <v>-80241567</v>
      </c>
      <c r="E47" s="93">
        <f t="shared" si="7"/>
        <v>-149984.23738317756</v>
      </c>
      <c r="F47" s="94">
        <f t="shared" si="5"/>
        <v>5336535.9301175745</v>
      </c>
      <c r="G47" s="95">
        <f t="shared" si="6"/>
        <v>-74905031.069882423</v>
      </c>
    </row>
    <row r="48" spans="1:7" ht="13.2" x14ac:dyDescent="0.25">
      <c r="A48" s="90">
        <v>42886</v>
      </c>
      <c r="B48" s="98"/>
      <c r="C48" s="100"/>
      <c r="D48" s="92">
        <f t="shared" si="4"/>
        <v>-80241567</v>
      </c>
      <c r="E48" s="93">
        <f t="shared" si="7"/>
        <v>-149984.23738317756</v>
      </c>
      <c r="F48" s="94">
        <f t="shared" si="5"/>
        <v>5486520.167500752</v>
      </c>
      <c r="G48" s="95">
        <f t="shared" si="6"/>
        <v>-74755046.832499251</v>
      </c>
    </row>
    <row r="49" spans="1:8" ht="13.2" x14ac:dyDescent="0.25">
      <c r="A49" s="90">
        <v>42916</v>
      </c>
      <c r="B49" s="98"/>
      <c r="C49" s="100"/>
      <c r="D49" s="92">
        <f t="shared" si="4"/>
        <v>-80241567</v>
      </c>
      <c r="E49" s="93">
        <f t="shared" si="7"/>
        <v>-149984.23738317756</v>
      </c>
      <c r="F49" s="94">
        <f t="shared" si="5"/>
        <v>5636504.4048839295</v>
      </c>
      <c r="G49" s="95">
        <f t="shared" si="6"/>
        <v>-74605062.595116064</v>
      </c>
    </row>
    <row r="50" spans="1:8" ht="13.2" x14ac:dyDescent="0.25">
      <c r="A50" s="90">
        <v>42947</v>
      </c>
      <c r="B50" s="98"/>
      <c r="C50" s="100"/>
      <c r="D50" s="92">
        <f t="shared" si="4"/>
        <v>-80241567</v>
      </c>
      <c r="E50" s="93">
        <f t="shared" si="7"/>
        <v>-149984.23738317756</v>
      </c>
      <c r="F50" s="94">
        <f t="shared" si="5"/>
        <v>5786488.642267107</v>
      </c>
      <c r="G50" s="95">
        <f t="shared" si="6"/>
        <v>-74455078.357732892</v>
      </c>
    </row>
    <row r="51" spans="1:8" ht="13.2" x14ac:dyDescent="0.25">
      <c r="A51" s="90">
        <v>42978</v>
      </c>
      <c r="B51" s="98"/>
      <c r="C51" s="100"/>
      <c r="D51" s="92">
        <f t="shared" si="4"/>
        <v>-80241567</v>
      </c>
      <c r="E51" s="93">
        <f t="shared" si="7"/>
        <v>-149984.23738317756</v>
      </c>
      <c r="F51" s="94">
        <f t="shared" si="5"/>
        <v>5936472.8796502845</v>
      </c>
      <c r="G51" s="95">
        <f t="shared" si="6"/>
        <v>-74305094.12034972</v>
      </c>
    </row>
    <row r="52" spans="1:8" ht="13.2" x14ac:dyDescent="0.25">
      <c r="A52" s="90">
        <v>43008</v>
      </c>
      <c r="B52" s="98"/>
      <c r="C52" s="100"/>
      <c r="D52" s="92">
        <f t="shared" si="4"/>
        <v>-80241567</v>
      </c>
      <c r="E52" s="93">
        <f t="shared" si="7"/>
        <v>-149984.23738317756</v>
      </c>
      <c r="F52" s="94">
        <f t="shared" si="5"/>
        <v>6086457.117033462</v>
      </c>
      <c r="G52" s="95">
        <f t="shared" si="6"/>
        <v>-74155109.882966533</v>
      </c>
    </row>
    <row r="53" spans="1:8" ht="13.2" x14ac:dyDescent="0.25">
      <c r="A53" s="90">
        <v>43039</v>
      </c>
      <c r="B53" s="98"/>
      <c r="C53" s="100"/>
      <c r="D53" s="92">
        <f t="shared" si="4"/>
        <v>-80241567</v>
      </c>
      <c r="E53" s="93">
        <f t="shared" si="7"/>
        <v>-149984.23738317756</v>
      </c>
      <c r="F53" s="94">
        <f t="shared" si="5"/>
        <v>6236441.3544166395</v>
      </c>
      <c r="G53" s="95">
        <f t="shared" si="6"/>
        <v>-74005125.645583361</v>
      </c>
    </row>
    <row r="54" spans="1:8" ht="13.8" thickBot="1" x14ac:dyDescent="0.3">
      <c r="A54" s="90">
        <v>43069</v>
      </c>
      <c r="B54" s="98"/>
      <c r="C54" s="100"/>
      <c r="D54" s="92">
        <f t="shared" si="4"/>
        <v>-80241567</v>
      </c>
      <c r="E54" s="93">
        <f t="shared" si="7"/>
        <v>-149984.23738317756</v>
      </c>
      <c r="F54" s="94">
        <f t="shared" si="5"/>
        <v>6386425.591799817</v>
      </c>
      <c r="G54" s="95">
        <f t="shared" si="6"/>
        <v>-73855141.408200189</v>
      </c>
      <c r="H54" s="69" t="s">
        <v>254</v>
      </c>
    </row>
    <row r="55" spans="1:8" ht="13.2" x14ac:dyDescent="0.25">
      <c r="A55" s="90">
        <v>43100</v>
      </c>
      <c r="B55" s="98"/>
      <c r="C55" s="100"/>
      <c r="D55" s="92">
        <f t="shared" si="4"/>
        <v>-80241567</v>
      </c>
      <c r="E55" s="93">
        <f t="shared" si="7"/>
        <v>-149984.23738317756</v>
      </c>
      <c r="F55" s="94">
        <f t="shared" si="5"/>
        <v>6536409.8291829946</v>
      </c>
      <c r="G55" s="95">
        <f t="shared" si="6"/>
        <v>-73705157.170817003</v>
      </c>
      <c r="H55" s="101">
        <f>(F43+F55+SUM(F44:F54)*2)/24</f>
        <v>5636504.4048839295</v>
      </c>
    </row>
    <row r="56" spans="1:8" ht="13.2" x14ac:dyDescent="0.25">
      <c r="A56" s="102">
        <v>43131</v>
      </c>
      <c r="B56" s="103"/>
      <c r="C56" s="104"/>
      <c r="D56" s="105">
        <f t="shared" si="4"/>
        <v>-80241567</v>
      </c>
      <c r="E56" s="106">
        <f t="shared" si="7"/>
        <v>-149984.23738317756</v>
      </c>
      <c r="F56" s="107">
        <f t="shared" si="5"/>
        <v>6686394.0665661721</v>
      </c>
      <c r="G56" s="108">
        <f t="shared" si="6"/>
        <v>-73555172.933433831</v>
      </c>
    </row>
    <row r="57" spans="1:8" ht="13.2" x14ac:dyDescent="0.25">
      <c r="A57" s="90">
        <v>43159</v>
      </c>
      <c r="B57" s="98"/>
      <c r="C57" s="100"/>
      <c r="D57" s="92">
        <f t="shared" si="4"/>
        <v>-80241567</v>
      </c>
      <c r="E57" s="93">
        <f t="shared" si="7"/>
        <v>-149984.23738317756</v>
      </c>
      <c r="F57" s="94">
        <f t="shared" si="5"/>
        <v>6836378.3039493496</v>
      </c>
      <c r="G57" s="95">
        <f t="shared" si="6"/>
        <v>-73405188.696050644</v>
      </c>
    </row>
    <row r="58" spans="1:8" ht="13.2" x14ac:dyDescent="0.25">
      <c r="A58" s="90">
        <v>43190</v>
      </c>
      <c r="B58" s="98"/>
      <c r="C58" s="100"/>
      <c r="D58" s="92">
        <f t="shared" si="4"/>
        <v>-80241567</v>
      </c>
      <c r="E58" s="93">
        <f t="shared" si="7"/>
        <v>-149984.23738317756</v>
      </c>
      <c r="F58" s="94">
        <f t="shared" si="5"/>
        <v>6986362.5413325271</v>
      </c>
      <c r="G58" s="95">
        <f t="shared" si="6"/>
        <v>-73255204.458667472</v>
      </c>
    </row>
    <row r="59" spans="1:8" ht="13.2" x14ac:dyDescent="0.25">
      <c r="A59" s="90">
        <v>43220</v>
      </c>
      <c r="B59" s="98"/>
      <c r="C59" s="100"/>
      <c r="D59" s="92">
        <f t="shared" si="4"/>
        <v>-80241567</v>
      </c>
      <c r="E59" s="93">
        <f t="shared" si="7"/>
        <v>-149984.23738317756</v>
      </c>
      <c r="F59" s="94">
        <f t="shared" si="5"/>
        <v>7136346.7787157046</v>
      </c>
      <c r="G59" s="95">
        <f t="shared" si="6"/>
        <v>-73105220.2212843</v>
      </c>
    </row>
    <row r="60" spans="1:8" ht="13.2" x14ac:dyDescent="0.25">
      <c r="A60" s="90">
        <v>43251</v>
      </c>
      <c r="B60" s="98"/>
      <c r="C60" s="100"/>
      <c r="D60" s="92">
        <f t="shared" si="4"/>
        <v>-80241567</v>
      </c>
      <c r="E60" s="93">
        <f t="shared" si="7"/>
        <v>-149984.23738317756</v>
      </c>
      <c r="F60" s="94">
        <f t="shared" si="5"/>
        <v>7286331.0160988821</v>
      </c>
      <c r="G60" s="95">
        <f t="shared" si="6"/>
        <v>-72955235.983901113</v>
      </c>
    </row>
    <row r="61" spans="1:8" ht="13.2" x14ac:dyDescent="0.25">
      <c r="A61" s="90">
        <v>43281</v>
      </c>
      <c r="B61" s="98"/>
      <c r="C61" s="100"/>
      <c r="D61" s="92">
        <f t="shared" si="4"/>
        <v>-80241567</v>
      </c>
      <c r="E61" s="93">
        <f t="shared" si="7"/>
        <v>-149984.23738317756</v>
      </c>
      <c r="F61" s="94">
        <f t="shared" si="5"/>
        <v>7436315.2534820596</v>
      </c>
      <c r="G61" s="95">
        <f t="shared" si="6"/>
        <v>-72805251.746517941</v>
      </c>
    </row>
    <row r="62" spans="1:8" ht="13.2" x14ac:dyDescent="0.25">
      <c r="A62" s="90">
        <v>43312</v>
      </c>
      <c r="B62" s="98"/>
      <c r="C62" s="100"/>
      <c r="D62" s="92">
        <f t="shared" si="4"/>
        <v>-80241567</v>
      </c>
      <c r="E62" s="93">
        <f t="shared" si="7"/>
        <v>-149984.23738317756</v>
      </c>
      <c r="F62" s="94">
        <f t="shared" si="5"/>
        <v>7586299.4908652371</v>
      </c>
      <c r="G62" s="95">
        <f t="shared" si="6"/>
        <v>-72655267.509134769</v>
      </c>
    </row>
    <row r="63" spans="1:8" ht="13.2" x14ac:dyDescent="0.25">
      <c r="A63" s="90">
        <v>43343</v>
      </c>
      <c r="B63" s="98"/>
      <c r="C63" s="100"/>
      <c r="D63" s="92">
        <f t="shared" si="4"/>
        <v>-80241567</v>
      </c>
      <c r="E63" s="93">
        <f t="shared" si="7"/>
        <v>-149984.23738317756</v>
      </c>
      <c r="F63" s="94">
        <f t="shared" si="5"/>
        <v>7736283.7282484146</v>
      </c>
      <c r="G63" s="95">
        <f t="shared" si="6"/>
        <v>-72505283.271751583</v>
      </c>
    </row>
    <row r="64" spans="1:8" ht="13.2" x14ac:dyDescent="0.25">
      <c r="A64" s="90">
        <v>43373</v>
      </c>
      <c r="B64" s="98"/>
      <c r="C64" s="100"/>
      <c r="D64" s="92">
        <f t="shared" si="4"/>
        <v>-80241567</v>
      </c>
      <c r="E64" s="93">
        <f t="shared" si="7"/>
        <v>-149984.23738317756</v>
      </c>
      <c r="F64" s="94">
        <f t="shared" si="5"/>
        <v>7886267.9656315921</v>
      </c>
      <c r="G64" s="95">
        <f t="shared" si="6"/>
        <v>-72355299.034368411</v>
      </c>
    </row>
    <row r="65" spans="1:8" ht="13.2" x14ac:dyDescent="0.25">
      <c r="A65" s="90">
        <v>43404</v>
      </c>
      <c r="B65" s="98"/>
      <c r="C65" s="100"/>
      <c r="D65" s="92">
        <f t="shared" si="4"/>
        <v>-80241567</v>
      </c>
      <c r="E65" s="93">
        <f t="shared" si="7"/>
        <v>-149984.23738317756</v>
      </c>
      <c r="F65" s="94">
        <f t="shared" si="5"/>
        <v>8036252.2030147696</v>
      </c>
      <c r="G65" s="95">
        <f t="shared" si="6"/>
        <v>-72205314.796985224</v>
      </c>
    </row>
    <row r="66" spans="1:8" ht="13.8" thickBot="1" x14ac:dyDescent="0.3">
      <c r="A66" s="90">
        <v>43434</v>
      </c>
      <c r="B66" s="98"/>
      <c r="C66" s="100"/>
      <c r="D66" s="92">
        <f t="shared" si="4"/>
        <v>-80241567</v>
      </c>
      <c r="E66" s="93">
        <f t="shared" si="7"/>
        <v>-149984.23738317756</v>
      </c>
      <c r="F66" s="94">
        <f t="shared" si="5"/>
        <v>8186236.4403979471</v>
      </c>
      <c r="G66" s="95">
        <f t="shared" si="6"/>
        <v>-72055330.559602052</v>
      </c>
      <c r="H66" s="69" t="s">
        <v>254</v>
      </c>
    </row>
    <row r="67" spans="1:8" ht="13.2" x14ac:dyDescent="0.25">
      <c r="A67" s="109">
        <v>43465</v>
      </c>
      <c r="B67" s="110"/>
      <c r="C67" s="110"/>
      <c r="D67" s="111">
        <f t="shared" si="4"/>
        <v>-80241567</v>
      </c>
      <c r="E67" s="112">
        <f t="shared" si="7"/>
        <v>-149984.23738317756</v>
      </c>
      <c r="F67" s="113">
        <f t="shared" si="5"/>
        <v>8336220.6777811246</v>
      </c>
      <c r="G67" s="89">
        <f t="shared" si="6"/>
        <v>-71905346.32221888</v>
      </c>
      <c r="H67" s="101">
        <f>(F55+F67+SUM(F56:F66)*2)/24</f>
        <v>7436315.2534820596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.109375" defaultRowHeight="10.199999999999999" x14ac:dyDescent="0.2"/>
  <cols>
    <col min="1" max="16384" width="9.109375" style="69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workbookViewId="0">
      <selection sqref="A1:XFD1048576"/>
    </sheetView>
  </sheetViews>
  <sheetFormatPr defaultColWidth="9.109375" defaultRowHeight="14.4" x14ac:dyDescent="0.3"/>
  <cols>
    <col min="1" max="1" width="5.33203125" style="36" customWidth="1"/>
    <col min="2" max="2" width="35.109375" style="36" bestFit="1" customWidth="1"/>
    <col min="3" max="7" width="12.33203125" style="36" bestFit="1" customWidth="1"/>
    <col min="8" max="16384" width="9.109375" style="36"/>
  </cols>
  <sheetData>
    <row r="3" spans="2:7" ht="16.2" customHeight="1" x14ac:dyDescent="0.3">
      <c r="B3" s="340" t="s">
        <v>498</v>
      </c>
      <c r="C3" s="340"/>
      <c r="D3" s="340"/>
      <c r="E3" s="340"/>
      <c r="F3" s="340"/>
      <c r="G3" s="340"/>
    </row>
    <row r="4" spans="2:7" ht="16.2" customHeight="1" x14ac:dyDescent="0.3">
      <c r="B4" s="340"/>
      <c r="C4" s="340"/>
      <c r="D4" s="340"/>
      <c r="E4" s="340"/>
      <c r="F4" s="340"/>
      <c r="G4" s="340"/>
    </row>
    <row r="5" spans="2:7" x14ac:dyDescent="0.3">
      <c r="C5" s="186" t="s">
        <v>483</v>
      </c>
      <c r="D5" s="186"/>
      <c r="E5" s="186" t="s">
        <v>484</v>
      </c>
      <c r="F5" s="186"/>
      <c r="G5" s="186" t="s">
        <v>485</v>
      </c>
    </row>
    <row r="6" spans="2:7" x14ac:dyDescent="0.3">
      <c r="C6" s="341" t="s">
        <v>486</v>
      </c>
      <c r="D6" s="341" t="s">
        <v>484</v>
      </c>
      <c r="E6" s="341" t="s">
        <v>487</v>
      </c>
      <c r="F6" s="341" t="s">
        <v>485</v>
      </c>
      <c r="G6" s="341" t="s">
        <v>487</v>
      </c>
    </row>
    <row r="7" spans="2:7" x14ac:dyDescent="0.3">
      <c r="C7" s="342" t="s">
        <v>488</v>
      </c>
      <c r="D7" s="342" t="s">
        <v>302</v>
      </c>
      <c r="E7" s="342" t="s">
        <v>489</v>
      </c>
      <c r="F7" s="342" t="s">
        <v>490</v>
      </c>
      <c r="G7" s="342" t="s">
        <v>491</v>
      </c>
    </row>
    <row r="8" spans="2:7" x14ac:dyDescent="0.3">
      <c r="B8" s="343" t="s">
        <v>492</v>
      </c>
      <c r="C8" s="34"/>
    </row>
    <row r="9" spans="2:7" x14ac:dyDescent="0.3">
      <c r="B9" s="344" t="s">
        <v>493</v>
      </c>
      <c r="C9" s="34">
        <f>'Unprotected DFIT Reg Asset Amor'!B97</f>
        <v>-14817850.210000001</v>
      </c>
      <c r="D9" s="34">
        <f>C9</f>
        <v>-14817850.210000001</v>
      </c>
      <c r="E9" s="345">
        <f>D9-C9</f>
        <v>0</v>
      </c>
      <c r="F9" s="34">
        <f>'Unprotected DFIT Reg Asset Amor'!E98</f>
        <v>-13336065.189999999</v>
      </c>
      <c r="G9" s="345">
        <f>F9-D9</f>
        <v>1481785.0200000014</v>
      </c>
    </row>
    <row r="10" spans="2:7" ht="15" thickBot="1" x14ac:dyDescent="0.35">
      <c r="B10" s="344" t="s">
        <v>494</v>
      </c>
      <c r="C10" s="346">
        <f>C9</f>
        <v>-14817850.210000001</v>
      </c>
      <c r="D10" s="346">
        <f>D9</f>
        <v>-14817850.210000001</v>
      </c>
      <c r="E10" s="347">
        <f>SUM(E9)</f>
        <v>0</v>
      </c>
      <c r="F10" s="346">
        <f>F9</f>
        <v>-13336065.189999999</v>
      </c>
      <c r="G10" s="347">
        <f>SUM(G9)</f>
        <v>1481785.0200000014</v>
      </c>
    </row>
    <row r="11" spans="2:7" ht="15" thickTop="1" x14ac:dyDescent="0.3">
      <c r="B11" s="344"/>
      <c r="C11" s="34"/>
    </row>
    <row r="12" spans="2:7" x14ac:dyDescent="0.3">
      <c r="B12" s="343" t="s">
        <v>495</v>
      </c>
    </row>
    <row r="13" spans="2:7" x14ac:dyDescent="0.3">
      <c r="B13" s="344" t="s">
        <v>496</v>
      </c>
      <c r="C13" s="2">
        <v>0</v>
      </c>
      <c r="D13" s="2">
        <v>0</v>
      </c>
      <c r="E13" s="2">
        <v>0</v>
      </c>
      <c r="F13" s="2">
        <f>'Unprotected DFIT Reg Asset Amor'!D98</f>
        <v>-2963570.0399999996</v>
      </c>
      <c r="G13" s="345">
        <f>F13-D13</f>
        <v>-2963570.0399999996</v>
      </c>
    </row>
    <row r="14" spans="2:7" x14ac:dyDescent="0.3">
      <c r="B14" s="348" t="s">
        <v>497</v>
      </c>
      <c r="C14" s="349">
        <f>C13</f>
        <v>0</v>
      </c>
      <c r="D14" s="349">
        <f>D13</f>
        <v>0</v>
      </c>
      <c r="E14" s="349">
        <f>SUM(E13)</f>
        <v>0</v>
      </c>
      <c r="F14" s="349">
        <f>SUM(F13)</f>
        <v>-2963570.0399999996</v>
      </c>
      <c r="G14" s="349">
        <f>SUM(G13)</f>
        <v>-2963570.0399999996</v>
      </c>
    </row>
    <row r="15" spans="2:7" x14ac:dyDescent="0.3">
      <c r="B15" s="350"/>
    </row>
    <row r="16" spans="2:7" x14ac:dyDescent="0.3">
      <c r="B16" s="351"/>
    </row>
    <row r="17" spans="2:2" x14ac:dyDescent="0.3">
      <c r="B17" s="35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pane xSplit="1" ySplit="7" topLeftCell="B2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09375" defaultRowHeight="14.4" outlineLevelRow="1" x14ac:dyDescent="0.3"/>
  <cols>
    <col min="1" max="1" width="19" style="186" bestFit="1" customWidth="1"/>
    <col min="2" max="2" width="14.109375" style="36" customWidth="1"/>
    <col min="3" max="3" width="9.5546875" style="36" bestFit="1" customWidth="1"/>
    <col min="4" max="4" width="14.44140625" style="36" customWidth="1"/>
    <col min="5" max="5" width="15.5546875" style="36" bestFit="1" customWidth="1"/>
    <col min="6" max="6" width="5.33203125" style="36" customWidth="1"/>
    <col min="7" max="7" width="11.5546875" style="36" bestFit="1" customWidth="1"/>
    <col min="8" max="8" width="9.109375" style="36"/>
    <col min="9" max="9" width="13.6640625" style="36" bestFit="1" customWidth="1"/>
    <col min="10" max="16384" width="9.109375" style="36"/>
  </cols>
  <sheetData>
    <row r="1" spans="1:6" ht="15" thickBot="1" x14ac:dyDescent="0.35">
      <c r="C1" s="326" t="s">
        <v>482</v>
      </c>
    </row>
    <row r="2" spans="1:6" x14ac:dyDescent="0.3">
      <c r="B2" s="30" t="s">
        <v>357</v>
      </c>
      <c r="C2" s="31"/>
      <c r="D2" s="31" t="s">
        <v>150</v>
      </c>
      <c r="E2" s="32" t="s">
        <v>473</v>
      </c>
    </row>
    <row r="3" spans="1:6" ht="15" thickBot="1" x14ac:dyDescent="0.35">
      <c r="B3" s="195" t="s">
        <v>481</v>
      </c>
      <c r="C3" s="196"/>
      <c r="D3" s="33">
        <v>-14817850.210000001</v>
      </c>
      <c r="E3" s="327">
        <f>D3/60*12</f>
        <v>-2963570.0420000004</v>
      </c>
    </row>
    <row r="5" spans="1:6" x14ac:dyDescent="0.3">
      <c r="A5" s="328" t="s">
        <v>294</v>
      </c>
      <c r="B5" s="328" t="s">
        <v>474</v>
      </c>
      <c r="C5" s="328" t="s">
        <v>475</v>
      </c>
      <c r="D5" s="328" t="s">
        <v>310</v>
      </c>
      <c r="E5" s="328" t="s">
        <v>476</v>
      </c>
      <c r="F5" s="329"/>
    </row>
    <row r="6" spans="1:6" x14ac:dyDescent="0.3">
      <c r="A6" s="330" t="s">
        <v>477</v>
      </c>
      <c r="B6" s="330" t="s">
        <v>272</v>
      </c>
      <c r="C6" s="330" t="s">
        <v>478</v>
      </c>
      <c r="D6" s="330" t="s">
        <v>305</v>
      </c>
      <c r="E6" s="330" t="s">
        <v>272</v>
      </c>
      <c r="F6" s="329"/>
    </row>
    <row r="7" spans="1:6" x14ac:dyDescent="0.3">
      <c r="A7" s="329"/>
      <c r="B7" s="329"/>
      <c r="C7" s="329"/>
      <c r="D7" s="329"/>
      <c r="E7" s="329"/>
      <c r="F7" s="329"/>
    </row>
    <row r="8" spans="1:6" x14ac:dyDescent="0.3">
      <c r="A8" s="331">
        <v>43101</v>
      </c>
      <c r="B8" s="60">
        <f>D3</f>
        <v>-14817850.210000001</v>
      </c>
      <c r="D8" s="60"/>
      <c r="E8" s="60">
        <f t="shared" ref="E8:E71" si="0">B8-D8</f>
        <v>-14817850.210000001</v>
      </c>
      <c r="F8" s="60"/>
    </row>
    <row r="9" spans="1:6" x14ac:dyDescent="0.3">
      <c r="A9" s="331">
        <v>43132</v>
      </c>
      <c r="B9" s="34">
        <f>E8</f>
        <v>-14817850.210000001</v>
      </c>
      <c r="C9" s="332"/>
      <c r="D9" s="34"/>
      <c r="E9" s="34">
        <f t="shared" si="0"/>
        <v>-14817850.210000001</v>
      </c>
      <c r="F9" s="34"/>
    </row>
    <row r="10" spans="1:6" x14ac:dyDescent="0.3">
      <c r="A10" s="331">
        <v>43160</v>
      </c>
      <c r="B10" s="34">
        <f>E9</f>
        <v>-14817850.210000001</v>
      </c>
      <c r="D10" s="34"/>
      <c r="E10" s="34">
        <f t="shared" si="0"/>
        <v>-14817850.210000001</v>
      </c>
      <c r="F10" s="34"/>
    </row>
    <row r="11" spans="1:6" x14ac:dyDescent="0.3">
      <c r="A11" s="331">
        <v>43191</v>
      </c>
      <c r="B11" s="34">
        <f t="shared" ref="B11:B74" si="1">E10</f>
        <v>-14817850.210000001</v>
      </c>
      <c r="D11" s="34"/>
      <c r="E11" s="34">
        <f t="shared" si="0"/>
        <v>-14817850.210000001</v>
      </c>
      <c r="F11" s="34"/>
    </row>
    <row r="12" spans="1:6" x14ac:dyDescent="0.3">
      <c r="A12" s="331">
        <v>43221</v>
      </c>
      <c r="B12" s="34">
        <f t="shared" si="1"/>
        <v>-14817850.210000001</v>
      </c>
      <c r="C12" s="332"/>
      <c r="D12" s="34"/>
      <c r="E12" s="34">
        <f t="shared" si="0"/>
        <v>-14817850.210000001</v>
      </c>
      <c r="F12" s="34"/>
    </row>
    <row r="13" spans="1:6" x14ac:dyDescent="0.3">
      <c r="A13" s="331">
        <v>43252</v>
      </c>
      <c r="B13" s="34">
        <f t="shared" si="1"/>
        <v>-14817850.210000001</v>
      </c>
      <c r="D13" s="34"/>
      <c r="E13" s="34">
        <f t="shared" si="0"/>
        <v>-14817850.210000001</v>
      </c>
      <c r="F13" s="34"/>
    </row>
    <row r="14" spans="1:6" x14ac:dyDescent="0.3">
      <c r="A14" s="331">
        <v>43282</v>
      </c>
      <c r="B14" s="34">
        <f t="shared" si="1"/>
        <v>-14817850.210000001</v>
      </c>
      <c r="D14" s="34"/>
      <c r="E14" s="34">
        <f t="shared" si="0"/>
        <v>-14817850.210000001</v>
      </c>
      <c r="F14" s="34"/>
    </row>
    <row r="15" spans="1:6" x14ac:dyDescent="0.3">
      <c r="A15" s="331">
        <v>43313</v>
      </c>
      <c r="B15" s="34">
        <f t="shared" si="1"/>
        <v>-14817850.210000001</v>
      </c>
      <c r="C15" s="332"/>
      <c r="D15" s="34"/>
      <c r="E15" s="34">
        <f t="shared" si="0"/>
        <v>-14817850.210000001</v>
      </c>
      <c r="F15" s="34"/>
    </row>
    <row r="16" spans="1:6" x14ac:dyDescent="0.3">
      <c r="A16" s="331">
        <v>43344</v>
      </c>
      <c r="B16" s="34">
        <f t="shared" si="1"/>
        <v>-14817850.210000001</v>
      </c>
      <c r="D16" s="34"/>
      <c r="E16" s="34">
        <f t="shared" si="0"/>
        <v>-14817850.210000001</v>
      </c>
      <c r="F16" s="34"/>
    </row>
    <row r="17" spans="1:6" x14ac:dyDescent="0.3">
      <c r="A17" s="331">
        <v>43374</v>
      </c>
      <c r="B17" s="34">
        <f t="shared" si="1"/>
        <v>-14817850.210000001</v>
      </c>
      <c r="D17" s="34"/>
      <c r="E17" s="34">
        <f t="shared" si="0"/>
        <v>-14817850.210000001</v>
      </c>
      <c r="F17" s="34"/>
    </row>
    <row r="18" spans="1:6" x14ac:dyDescent="0.3">
      <c r="A18" s="331">
        <v>43405</v>
      </c>
      <c r="B18" s="34">
        <f t="shared" si="1"/>
        <v>-14817850.210000001</v>
      </c>
      <c r="C18" s="332"/>
      <c r="D18" s="34"/>
      <c r="E18" s="34">
        <f t="shared" si="0"/>
        <v>-14817850.210000001</v>
      </c>
      <c r="F18" s="34"/>
    </row>
    <row r="19" spans="1:6" x14ac:dyDescent="0.3">
      <c r="A19" s="331">
        <v>43435</v>
      </c>
      <c r="B19" s="34">
        <f t="shared" si="1"/>
        <v>-14817850.210000001</v>
      </c>
      <c r="D19" s="34"/>
      <c r="E19" s="34">
        <f t="shared" si="0"/>
        <v>-14817850.210000001</v>
      </c>
      <c r="F19" s="34"/>
    </row>
    <row r="20" spans="1:6" x14ac:dyDescent="0.3">
      <c r="A20" s="331">
        <v>43466</v>
      </c>
      <c r="B20" s="34">
        <f t="shared" si="1"/>
        <v>-14817850.210000001</v>
      </c>
      <c r="D20" s="34"/>
      <c r="E20" s="34">
        <f t="shared" si="0"/>
        <v>-14817850.210000001</v>
      </c>
      <c r="F20" s="34"/>
    </row>
    <row r="21" spans="1:6" x14ac:dyDescent="0.3">
      <c r="A21" s="331">
        <v>43497</v>
      </c>
      <c r="B21" s="34">
        <f t="shared" si="1"/>
        <v>-14817850.210000001</v>
      </c>
      <c r="C21" s="332"/>
      <c r="D21" s="34"/>
      <c r="E21" s="34">
        <f t="shared" si="0"/>
        <v>-14817850.210000001</v>
      </c>
      <c r="F21" s="34"/>
    </row>
    <row r="22" spans="1:6" x14ac:dyDescent="0.3">
      <c r="A22" s="331">
        <v>43525</v>
      </c>
      <c r="B22" s="34">
        <f t="shared" si="1"/>
        <v>-14817850.210000001</v>
      </c>
      <c r="D22" s="34"/>
      <c r="E22" s="34">
        <f t="shared" si="0"/>
        <v>-14817850.210000001</v>
      </c>
      <c r="F22" s="34"/>
    </row>
    <row r="23" spans="1:6" x14ac:dyDescent="0.3">
      <c r="A23" s="331">
        <v>43556</v>
      </c>
      <c r="B23" s="34">
        <f t="shared" si="1"/>
        <v>-14817850.210000001</v>
      </c>
      <c r="D23" s="34"/>
      <c r="E23" s="34">
        <f t="shared" si="0"/>
        <v>-14817850.210000001</v>
      </c>
      <c r="F23" s="34"/>
    </row>
    <row r="24" spans="1:6" x14ac:dyDescent="0.3">
      <c r="A24" s="331">
        <v>43586</v>
      </c>
      <c r="B24" s="34">
        <f t="shared" si="1"/>
        <v>-14817850.210000001</v>
      </c>
      <c r="C24" s="332"/>
      <c r="D24" s="34"/>
      <c r="E24" s="34">
        <f t="shared" si="0"/>
        <v>-14817850.210000001</v>
      </c>
      <c r="F24" s="34"/>
    </row>
    <row r="25" spans="1:6" x14ac:dyDescent="0.3">
      <c r="A25" s="331">
        <v>43617</v>
      </c>
      <c r="B25" s="34">
        <f t="shared" si="1"/>
        <v>-14817850.210000001</v>
      </c>
      <c r="D25" s="34"/>
      <c r="E25" s="34">
        <f t="shared" si="0"/>
        <v>-14817850.210000001</v>
      </c>
      <c r="F25" s="34"/>
    </row>
    <row r="26" spans="1:6" x14ac:dyDescent="0.3">
      <c r="A26" s="331">
        <v>43647</v>
      </c>
      <c r="B26" s="34">
        <f t="shared" si="1"/>
        <v>-14817850.210000001</v>
      </c>
      <c r="D26" s="34"/>
      <c r="E26" s="34">
        <f t="shared" si="0"/>
        <v>-14817850.210000001</v>
      </c>
      <c r="F26" s="34"/>
    </row>
    <row r="27" spans="1:6" x14ac:dyDescent="0.3">
      <c r="A27" s="331">
        <v>43678</v>
      </c>
      <c r="B27" s="34">
        <f t="shared" si="1"/>
        <v>-14817850.210000001</v>
      </c>
      <c r="C27" s="332"/>
      <c r="D27" s="34"/>
      <c r="E27" s="34">
        <f t="shared" si="0"/>
        <v>-14817850.210000001</v>
      </c>
      <c r="F27" s="34"/>
    </row>
    <row r="28" spans="1:6" x14ac:dyDescent="0.3">
      <c r="A28" s="331">
        <v>43709</v>
      </c>
      <c r="B28" s="34">
        <f t="shared" si="1"/>
        <v>-14817850.210000001</v>
      </c>
      <c r="D28" s="34"/>
      <c r="E28" s="34">
        <f t="shared" si="0"/>
        <v>-14817850.210000001</v>
      </c>
      <c r="F28" s="34"/>
    </row>
    <row r="29" spans="1:6" x14ac:dyDescent="0.3">
      <c r="A29" s="331">
        <v>43739</v>
      </c>
      <c r="B29" s="34">
        <f t="shared" si="1"/>
        <v>-14817850.210000001</v>
      </c>
      <c r="D29" s="34"/>
      <c r="E29" s="34">
        <f t="shared" si="0"/>
        <v>-14817850.210000001</v>
      </c>
      <c r="F29" s="34"/>
    </row>
    <row r="30" spans="1:6" x14ac:dyDescent="0.3">
      <c r="A30" s="331">
        <v>43770</v>
      </c>
      <c r="B30" s="34">
        <f t="shared" si="1"/>
        <v>-14817850.210000001</v>
      </c>
      <c r="C30" s="332"/>
      <c r="D30" s="34"/>
      <c r="E30" s="34">
        <f t="shared" si="0"/>
        <v>-14817850.210000001</v>
      </c>
      <c r="F30" s="34"/>
    </row>
    <row r="31" spans="1:6" x14ac:dyDescent="0.3">
      <c r="A31" s="331">
        <v>43800</v>
      </c>
      <c r="B31" s="34">
        <f t="shared" si="1"/>
        <v>-14817850.210000001</v>
      </c>
      <c r="D31" s="34"/>
      <c r="E31" s="34">
        <f t="shared" si="0"/>
        <v>-14817850.210000001</v>
      </c>
      <c r="F31" s="34"/>
    </row>
    <row r="32" spans="1:6" x14ac:dyDescent="0.3">
      <c r="A32" s="331">
        <v>43831</v>
      </c>
      <c r="B32" s="34">
        <f t="shared" si="1"/>
        <v>-14817850.210000001</v>
      </c>
      <c r="D32" s="34"/>
      <c r="E32" s="34">
        <f t="shared" si="0"/>
        <v>-14817850.210000001</v>
      </c>
      <c r="F32" s="34"/>
    </row>
    <row r="33" spans="1:7" x14ac:dyDescent="0.3">
      <c r="A33" s="331">
        <v>43862</v>
      </c>
      <c r="B33" s="34">
        <f t="shared" si="1"/>
        <v>-14817850.210000001</v>
      </c>
      <c r="C33" s="332"/>
      <c r="D33" s="34"/>
      <c r="E33" s="34">
        <f t="shared" si="0"/>
        <v>-14817850.210000001</v>
      </c>
      <c r="F33" s="34"/>
    </row>
    <row r="34" spans="1:7" x14ac:dyDescent="0.3">
      <c r="A34" s="331">
        <v>43891</v>
      </c>
      <c r="B34" s="34">
        <f t="shared" si="1"/>
        <v>-14817850.210000001</v>
      </c>
      <c r="D34" s="34"/>
      <c r="E34" s="34">
        <f t="shared" si="0"/>
        <v>-14817850.210000001</v>
      </c>
      <c r="F34" s="34"/>
    </row>
    <row r="35" spans="1:7" x14ac:dyDescent="0.3">
      <c r="A35" s="331">
        <v>43922</v>
      </c>
      <c r="B35" s="34">
        <f t="shared" si="1"/>
        <v>-14817850.210000001</v>
      </c>
      <c r="D35" s="34"/>
      <c r="E35" s="34">
        <f t="shared" si="0"/>
        <v>-14817850.210000001</v>
      </c>
      <c r="F35" s="34"/>
    </row>
    <row r="36" spans="1:7" x14ac:dyDescent="0.3">
      <c r="A36" s="331">
        <v>43952</v>
      </c>
      <c r="B36" s="34">
        <f t="shared" si="1"/>
        <v>-14817850.210000001</v>
      </c>
      <c r="C36" s="332">
        <v>60</v>
      </c>
      <c r="D36" s="34">
        <f>ROUND(B36/C36,2)</f>
        <v>-246964.17</v>
      </c>
      <c r="E36" s="34">
        <f t="shared" si="0"/>
        <v>-14570886.040000001</v>
      </c>
      <c r="F36" s="34"/>
    </row>
    <row r="37" spans="1:7" x14ac:dyDescent="0.3">
      <c r="A37" s="331">
        <v>43983</v>
      </c>
      <c r="B37" s="34">
        <f t="shared" si="1"/>
        <v>-14570886.040000001</v>
      </c>
      <c r="C37" s="332">
        <f t="shared" ref="C37:C95" si="2">C36-1</f>
        <v>59</v>
      </c>
      <c r="D37" s="34">
        <f t="shared" ref="D37:D95" si="3">ROUND(B37/C37,2)</f>
        <v>-246964.17</v>
      </c>
      <c r="E37" s="34">
        <f t="shared" si="0"/>
        <v>-14323921.870000001</v>
      </c>
      <c r="F37" s="34"/>
    </row>
    <row r="38" spans="1:7" x14ac:dyDescent="0.3">
      <c r="A38" s="331">
        <v>44013</v>
      </c>
      <c r="B38" s="34">
        <f t="shared" si="1"/>
        <v>-14323921.870000001</v>
      </c>
      <c r="C38" s="332">
        <f t="shared" si="2"/>
        <v>58</v>
      </c>
      <c r="D38" s="34">
        <f t="shared" si="3"/>
        <v>-246964.17</v>
      </c>
      <c r="E38" s="34">
        <f t="shared" si="0"/>
        <v>-14076957.700000001</v>
      </c>
      <c r="F38" s="34"/>
    </row>
    <row r="39" spans="1:7" x14ac:dyDescent="0.3">
      <c r="A39" s="331">
        <v>44044</v>
      </c>
      <c r="B39" s="34">
        <f t="shared" si="1"/>
        <v>-14076957.700000001</v>
      </c>
      <c r="C39" s="332">
        <f t="shared" si="2"/>
        <v>57</v>
      </c>
      <c r="D39" s="34">
        <f t="shared" si="3"/>
        <v>-246964.17</v>
      </c>
      <c r="E39" s="34">
        <f t="shared" si="0"/>
        <v>-13829993.530000001</v>
      </c>
      <c r="F39" s="34"/>
    </row>
    <row r="40" spans="1:7" x14ac:dyDescent="0.3">
      <c r="A40" s="331">
        <v>44075</v>
      </c>
      <c r="B40" s="34">
        <f t="shared" si="1"/>
        <v>-13829993.530000001</v>
      </c>
      <c r="C40" s="332">
        <f t="shared" si="2"/>
        <v>56</v>
      </c>
      <c r="D40" s="34">
        <f t="shared" si="3"/>
        <v>-246964.17</v>
      </c>
      <c r="E40" s="34">
        <f t="shared" si="0"/>
        <v>-13583029.360000001</v>
      </c>
      <c r="F40" s="34"/>
    </row>
    <row r="41" spans="1:7" x14ac:dyDescent="0.3">
      <c r="A41" s="331">
        <v>44105</v>
      </c>
      <c r="B41" s="34">
        <f t="shared" si="1"/>
        <v>-13583029.360000001</v>
      </c>
      <c r="C41" s="332">
        <f t="shared" si="2"/>
        <v>55</v>
      </c>
      <c r="D41" s="34">
        <f t="shared" si="3"/>
        <v>-246964.17</v>
      </c>
      <c r="E41" s="34">
        <f t="shared" si="0"/>
        <v>-13336065.190000001</v>
      </c>
      <c r="F41" s="35"/>
      <c r="G41" s="34"/>
    </row>
    <row r="42" spans="1:7" x14ac:dyDescent="0.3">
      <c r="A42" s="331">
        <v>44136</v>
      </c>
      <c r="B42" s="34">
        <f t="shared" si="1"/>
        <v>-13336065.190000001</v>
      </c>
      <c r="C42" s="332">
        <f t="shared" si="2"/>
        <v>54</v>
      </c>
      <c r="D42" s="34">
        <f t="shared" si="3"/>
        <v>-246964.17</v>
      </c>
      <c r="E42" s="34">
        <f t="shared" si="0"/>
        <v>-13089101.020000001</v>
      </c>
      <c r="F42" s="34"/>
      <c r="G42" s="34"/>
    </row>
    <row r="43" spans="1:7" x14ac:dyDescent="0.3">
      <c r="A43" s="331">
        <v>44166</v>
      </c>
      <c r="B43" s="34">
        <f t="shared" si="1"/>
        <v>-13089101.020000001</v>
      </c>
      <c r="C43" s="332">
        <f t="shared" si="2"/>
        <v>53</v>
      </c>
      <c r="D43" s="34">
        <f t="shared" si="3"/>
        <v>-246964.17</v>
      </c>
      <c r="E43" s="34">
        <f t="shared" si="0"/>
        <v>-12842136.850000001</v>
      </c>
      <c r="F43" s="34"/>
      <c r="G43" s="34"/>
    </row>
    <row r="44" spans="1:7" x14ac:dyDescent="0.3">
      <c r="A44" s="331">
        <v>44197</v>
      </c>
      <c r="B44" s="34">
        <f t="shared" si="1"/>
        <v>-12842136.850000001</v>
      </c>
      <c r="C44" s="332">
        <f t="shared" si="2"/>
        <v>52</v>
      </c>
      <c r="D44" s="34">
        <f t="shared" si="3"/>
        <v>-246964.17</v>
      </c>
      <c r="E44" s="34">
        <f t="shared" si="0"/>
        <v>-12595172.680000002</v>
      </c>
      <c r="F44" s="34"/>
      <c r="G44" s="34"/>
    </row>
    <row r="45" spans="1:7" x14ac:dyDescent="0.3">
      <c r="A45" s="331">
        <v>44228</v>
      </c>
      <c r="B45" s="34">
        <f t="shared" si="1"/>
        <v>-12595172.680000002</v>
      </c>
      <c r="C45" s="332">
        <f t="shared" si="2"/>
        <v>51</v>
      </c>
      <c r="D45" s="34">
        <f t="shared" si="3"/>
        <v>-246964.17</v>
      </c>
      <c r="E45" s="34">
        <f t="shared" si="0"/>
        <v>-12348208.510000002</v>
      </c>
      <c r="F45" s="34"/>
    </row>
    <row r="46" spans="1:7" x14ac:dyDescent="0.3">
      <c r="A46" s="331">
        <v>44256</v>
      </c>
      <c r="B46" s="34">
        <f t="shared" si="1"/>
        <v>-12348208.510000002</v>
      </c>
      <c r="C46" s="332">
        <f t="shared" si="2"/>
        <v>50</v>
      </c>
      <c r="D46" s="34">
        <f t="shared" si="3"/>
        <v>-246964.17</v>
      </c>
      <c r="E46" s="34">
        <f t="shared" si="0"/>
        <v>-12101244.340000002</v>
      </c>
      <c r="F46" s="34"/>
    </row>
    <row r="47" spans="1:7" x14ac:dyDescent="0.3">
      <c r="A47" s="331">
        <v>44287</v>
      </c>
      <c r="B47" s="34">
        <f t="shared" si="1"/>
        <v>-12101244.340000002</v>
      </c>
      <c r="C47" s="332">
        <f t="shared" si="2"/>
        <v>49</v>
      </c>
      <c r="D47" s="34">
        <f t="shared" si="3"/>
        <v>-246964.17</v>
      </c>
      <c r="E47" s="34">
        <f t="shared" si="0"/>
        <v>-11854280.170000002</v>
      </c>
      <c r="F47" s="34"/>
    </row>
    <row r="48" spans="1:7" hidden="1" outlineLevel="1" x14ac:dyDescent="0.3">
      <c r="A48" s="331">
        <v>44317</v>
      </c>
      <c r="B48" s="34">
        <f t="shared" si="1"/>
        <v>-11854280.170000002</v>
      </c>
      <c r="C48" s="332">
        <f t="shared" si="2"/>
        <v>48</v>
      </c>
      <c r="D48" s="34">
        <f t="shared" si="3"/>
        <v>-246964.17</v>
      </c>
      <c r="E48" s="34">
        <f t="shared" si="0"/>
        <v>-11607316.000000002</v>
      </c>
      <c r="F48" s="34"/>
    </row>
    <row r="49" spans="1:6" hidden="1" outlineLevel="1" x14ac:dyDescent="0.3">
      <c r="A49" s="331">
        <v>44348</v>
      </c>
      <c r="B49" s="34">
        <f t="shared" si="1"/>
        <v>-11607316.000000002</v>
      </c>
      <c r="C49" s="332">
        <f t="shared" si="2"/>
        <v>47</v>
      </c>
      <c r="D49" s="34">
        <f t="shared" si="3"/>
        <v>-246964.17</v>
      </c>
      <c r="E49" s="34">
        <f t="shared" si="0"/>
        <v>-11360351.830000002</v>
      </c>
      <c r="F49" s="34"/>
    </row>
    <row r="50" spans="1:6" hidden="1" outlineLevel="1" x14ac:dyDescent="0.3">
      <c r="A50" s="331">
        <v>44378</v>
      </c>
      <c r="B50" s="34">
        <f t="shared" si="1"/>
        <v>-11360351.830000002</v>
      </c>
      <c r="C50" s="332">
        <f t="shared" si="2"/>
        <v>46</v>
      </c>
      <c r="D50" s="34">
        <f t="shared" si="3"/>
        <v>-246964.17</v>
      </c>
      <c r="E50" s="34">
        <f t="shared" si="0"/>
        <v>-11113387.660000002</v>
      </c>
      <c r="F50" s="34"/>
    </row>
    <row r="51" spans="1:6" hidden="1" outlineLevel="1" x14ac:dyDescent="0.3">
      <c r="A51" s="331">
        <v>44409</v>
      </c>
      <c r="B51" s="34">
        <f t="shared" si="1"/>
        <v>-11113387.660000002</v>
      </c>
      <c r="C51" s="332">
        <f t="shared" si="2"/>
        <v>45</v>
      </c>
      <c r="D51" s="34">
        <f t="shared" si="3"/>
        <v>-246964.17</v>
      </c>
      <c r="E51" s="34">
        <f t="shared" si="0"/>
        <v>-10866423.490000002</v>
      </c>
      <c r="F51" s="34"/>
    </row>
    <row r="52" spans="1:6" hidden="1" outlineLevel="1" x14ac:dyDescent="0.3">
      <c r="A52" s="331">
        <v>44440</v>
      </c>
      <c r="B52" s="34">
        <f t="shared" si="1"/>
        <v>-10866423.490000002</v>
      </c>
      <c r="C52" s="332">
        <f t="shared" si="2"/>
        <v>44</v>
      </c>
      <c r="D52" s="34">
        <f t="shared" si="3"/>
        <v>-246964.17</v>
      </c>
      <c r="E52" s="34">
        <f t="shared" si="0"/>
        <v>-10619459.320000002</v>
      </c>
      <c r="F52" s="34"/>
    </row>
    <row r="53" spans="1:6" hidden="1" outlineLevel="1" x14ac:dyDescent="0.3">
      <c r="A53" s="331">
        <v>44470</v>
      </c>
      <c r="B53" s="34">
        <f t="shared" si="1"/>
        <v>-10619459.320000002</v>
      </c>
      <c r="C53" s="332">
        <f t="shared" si="2"/>
        <v>43</v>
      </c>
      <c r="D53" s="34">
        <f t="shared" si="3"/>
        <v>-246964.17</v>
      </c>
      <c r="E53" s="34">
        <f t="shared" si="0"/>
        <v>-10372495.150000002</v>
      </c>
      <c r="F53" s="34"/>
    </row>
    <row r="54" spans="1:6" hidden="1" outlineLevel="1" x14ac:dyDescent="0.3">
      <c r="A54" s="331">
        <v>44501</v>
      </c>
      <c r="B54" s="34">
        <f t="shared" si="1"/>
        <v>-10372495.150000002</v>
      </c>
      <c r="C54" s="332">
        <f t="shared" si="2"/>
        <v>42</v>
      </c>
      <c r="D54" s="34">
        <f t="shared" si="3"/>
        <v>-246964.17</v>
      </c>
      <c r="E54" s="34">
        <f t="shared" si="0"/>
        <v>-10125530.980000002</v>
      </c>
      <c r="F54" s="34"/>
    </row>
    <row r="55" spans="1:6" hidden="1" outlineLevel="1" x14ac:dyDescent="0.3">
      <c r="A55" s="331">
        <v>44531</v>
      </c>
      <c r="B55" s="34">
        <f t="shared" si="1"/>
        <v>-10125530.980000002</v>
      </c>
      <c r="C55" s="332">
        <f t="shared" si="2"/>
        <v>41</v>
      </c>
      <c r="D55" s="34">
        <f t="shared" si="3"/>
        <v>-246964.17</v>
      </c>
      <c r="E55" s="34">
        <f t="shared" si="0"/>
        <v>-9878566.8100000024</v>
      </c>
      <c r="F55" s="34"/>
    </row>
    <row r="56" spans="1:6" hidden="1" outlineLevel="1" x14ac:dyDescent="0.3">
      <c r="A56" s="331">
        <v>44562</v>
      </c>
      <c r="B56" s="34">
        <f t="shared" si="1"/>
        <v>-9878566.8100000024</v>
      </c>
      <c r="C56" s="332">
        <f t="shared" si="2"/>
        <v>40</v>
      </c>
      <c r="D56" s="34">
        <f t="shared" si="3"/>
        <v>-246964.17</v>
      </c>
      <c r="E56" s="34">
        <f t="shared" si="0"/>
        <v>-9631602.6400000025</v>
      </c>
      <c r="F56" s="34"/>
    </row>
    <row r="57" spans="1:6" hidden="1" outlineLevel="1" x14ac:dyDescent="0.3">
      <c r="A57" s="331">
        <v>44593</v>
      </c>
      <c r="B57" s="34">
        <f t="shared" si="1"/>
        <v>-9631602.6400000025</v>
      </c>
      <c r="C57" s="332">
        <f t="shared" si="2"/>
        <v>39</v>
      </c>
      <c r="D57" s="34">
        <f t="shared" si="3"/>
        <v>-246964.17</v>
      </c>
      <c r="E57" s="34">
        <f t="shared" si="0"/>
        <v>-9384638.4700000025</v>
      </c>
      <c r="F57" s="34"/>
    </row>
    <row r="58" spans="1:6" hidden="1" outlineLevel="1" x14ac:dyDescent="0.3">
      <c r="A58" s="331">
        <v>44621</v>
      </c>
      <c r="B58" s="34">
        <f t="shared" si="1"/>
        <v>-9384638.4700000025</v>
      </c>
      <c r="C58" s="332">
        <f t="shared" si="2"/>
        <v>38</v>
      </c>
      <c r="D58" s="34">
        <f t="shared" si="3"/>
        <v>-246964.17</v>
      </c>
      <c r="E58" s="34">
        <f t="shared" si="0"/>
        <v>-9137674.3000000026</v>
      </c>
      <c r="F58" s="34"/>
    </row>
    <row r="59" spans="1:6" hidden="1" outlineLevel="1" x14ac:dyDescent="0.3">
      <c r="A59" s="331">
        <v>44652</v>
      </c>
      <c r="B59" s="34">
        <f t="shared" si="1"/>
        <v>-9137674.3000000026</v>
      </c>
      <c r="C59" s="332">
        <f t="shared" si="2"/>
        <v>37</v>
      </c>
      <c r="D59" s="34">
        <f t="shared" si="3"/>
        <v>-246964.17</v>
      </c>
      <c r="E59" s="34">
        <f t="shared" si="0"/>
        <v>-8890710.1300000027</v>
      </c>
      <c r="F59" s="34"/>
    </row>
    <row r="60" spans="1:6" hidden="1" outlineLevel="1" x14ac:dyDescent="0.3">
      <c r="A60" s="331">
        <v>44682</v>
      </c>
      <c r="B60" s="34">
        <f t="shared" si="1"/>
        <v>-8890710.1300000027</v>
      </c>
      <c r="C60" s="332">
        <f t="shared" si="2"/>
        <v>36</v>
      </c>
      <c r="D60" s="34">
        <f t="shared" si="3"/>
        <v>-246964.17</v>
      </c>
      <c r="E60" s="34">
        <f t="shared" si="0"/>
        <v>-8643745.9600000028</v>
      </c>
      <c r="F60" s="34"/>
    </row>
    <row r="61" spans="1:6" hidden="1" outlineLevel="1" x14ac:dyDescent="0.3">
      <c r="A61" s="331">
        <v>44713</v>
      </c>
      <c r="B61" s="34">
        <f t="shared" si="1"/>
        <v>-8643745.9600000028</v>
      </c>
      <c r="C61" s="332">
        <f t="shared" si="2"/>
        <v>35</v>
      </c>
      <c r="D61" s="34">
        <f t="shared" si="3"/>
        <v>-246964.17</v>
      </c>
      <c r="E61" s="34">
        <f t="shared" si="0"/>
        <v>-8396781.7900000028</v>
      </c>
      <c r="F61" s="34"/>
    </row>
    <row r="62" spans="1:6" hidden="1" outlineLevel="1" x14ac:dyDescent="0.3">
      <c r="A62" s="331">
        <v>44743</v>
      </c>
      <c r="B62" s="34">
        <f t="shared" si="1"/>
        <v>-8396781.7900000028</v>
      </c>
      <c r="C62" s="332">
        <f t="shared" si="2"/>
        <v>34</v>
      </c>
      <c r="D62" s="34">
        <f t="shared" si="3"/>
        <v>-246964.17</v>
      </c>
      <c r="E62" s="34">
        <f t="shared" si="0"/>
        <v>-8149817.6200000029</v>
      </c>
      <c r="F62" s="34"/>
    </row>
    <row r="63" spans="1:6" hidden="1" outlineLevel="1" x14ac:dyDescent="0.3">
      <c r="A63" s="331">
        <v>44774</v>
      </c>
      <c r="B63" s="34">
        <f t="shared" si="1"/>
        <v>-8149817.6200000029</v>
      </c>
      <c r="C63" s="332">
        <f t="shared" si="2"/>
        <v>33</v>
      </c>
      <c r="D63" s="34">
        <f t="shared" si="3"/>
        <v>-246964.17</v>
      </c>
      <c r="E63" s="34">
        <f t="shared" si="0"/>
        <v>-7902853.450000003</v>
      </c>
      <c r="F63" s="34"/>
    </row>
    <row r="64" spans="1:6" hidden="1" outlineLevel="1" x14ac:dyDescent="0.3">
      <c r="A64" s="331">
        <v>44805</v>
      </c>
      <c r="B64" s="34">
        <f t="shared" si="1"/>
        <v>-7902853.450000003</v>
      </c>
      <c r="C64" s="332">
        <f t="shared" si="2"/>
        <v>32</v>
      </c>
      <c r="D64" s="34">
        <f t="shared" si="3"/>
        <v>-246964.17</v>
      </c>
      <c r="E64" s="34">
        <f t="shared" si="0"/>
        <v>-7655889.2800000031</v>
      </c>
      <c r="F64" s="34"/>
    </row>
    <row r="65" spans="1:6" hidden="1" outlineLevel="1" x14ac:dyDescent="0.3">
      <c r="A65" s="331">
        <v>44835</v>
      </c>
      <c r="B65" s="34">
        <f t="shared" si="1"/>
        <v>-7655889.2800000031</v>
      </c>
      <c r="C65" s="332">
        <f t="shared" si="2"/>
        <v>31</v>
      </c>
      <c r="D65" s="34">
        <f t="shared" si="3"/>
        <v>-246964.17</v>
      </c>
      <c r="E65" s="34">
        <f t="shared" si="0"/>
        <v>-7408925.1100000031</v>
      </c>
      <c r="F65" s="34"/>
    </row>
    <row r="66" spans="1:6" hidden="1" outlineLevel="1" x14ac:dyDescent="0.3">
      <c r="A66" s="331">
        <v>44866</v>
      </c>
      <c r="B66" s="34">
        <f t="shared" si="1"/>
        <v>-7408925.1100000031</v>
      </c>
      <c r="C66" s="332">
        <f t="shared" si="2"/>
        <v>30</v>
      </c>
      <c r="D66" s="34">
        <f t="shared" si="3"/>
        <v>-246964.17</v>
      </c>
      <c r="E66" s="34">
        <f t="shared" si="0"/>
        <v>-7161960.9400000032</v>
      </c>
      <c r="F66" s="34"/>
    </row>
    <row r="67" spans="1:6" hidden="1" outlineLevel="1" x14ac:dyDescent="0.3">
      <c r="A67" s="331">
        <v>44896</v>
      </c>
      <c r="B67" s="34">
        <f t="shared" si="1"/>
        <v>-7161960.9400000032</v>
      </c>
      <c r="C67" s="332">
        <f t="shared" si="2"/>
        <v>29</v>
      </c>
      <c r="D67" s="34">
        <f t="shared" si="3"/>
        <v>-246964.17</v>
      </c>
      <c r="E67" s="34">
        <f t="shared" si="0"/>
        <v>-6914996.7700000033</v>
      </c>
      <c r="F67" s="34"/>
    </row>
    <row r="68" spans="1:6" hidden="1" outlineLevel="1" x14ac:dyDescent="0.3">
      <c r="A68" s="331">
        <v>44927</v>
      </c>
      <c r="B68" s="34">
        <f t="shared" si="1"/>
        <v>-6914996.7700000033</v>
      </c>
      <c r="C68" s="332">
        <f t="shared" si="2"/>
        <v>28</v>
      </c>
      <c r="D68" s="34">
        <f t="shared" si="3"/>
        <v>-246964.17</v>
      </c>
      <c r="E68" s="34">
        <f t="shared" si="0"/>
        <v>-6668032.6000000034</v>
      </c>
      <c r="F68" s="34"/>
    </row>
    <row r="69" spans="1:6" hidden="1" outlineLevel="1" x14ac:dyDescent="0.3">
      <c r="A69" s="331">
        <v>44958</v>
      </c>
      <c r="B69" s="34">
        <f t="shared" si="1"/>
        <v>-6668032.6000000034</v>
      </c>
      <c r="C69" s="332">
        <f t="shared" si="2"/>
        <v>27</v>
      </c>
      <c r="D69" s="34">
        <f t="shared" si="3"/>
        <v>-246964.17</v>
      </c>
      <c r="E69" s="34">
        <f t="shared" si="0"/>
        <v>-6421068.4300000034</v>
      </c>
      <c r="F69" s="34"/>
    </row>
    <row r="70" spans="1:6" hidden="1" outlineLevel="1" x14ac:dyDescent="0.3">
      <c r="A70" s="331">
        <v>44986</v>
      </c>
      <c r="B70" s="34">
        <f t="shared" si="1"/>
        <v>-6421068.4300000034</v>
      </c>
      <c r="C70" s="332">
        <f t="shared" si="2"/>
        <v>26</v>
      </c>
      <c r="D70" s="34">
        <f t="shared" si="3"/>
        <v>-246964.17</v>
      </c>
      <c r="E70" s="34">
        <f t="shared" si="0"/>
        <v>-6174104.2600000035</v>
      </c>
      <c r="F70" s="34"/>
    </row>
    <row r="71" spans="1:6" hidden="1" outlineLevel="1" x14ac:dyDescent="0.3">
      <c r="A71" s="331">
        <v>45017</v>
      </c>
      <c r="B71" s="34">
        <f t="shared" si="1"/>
        <v>-6174104.2600000035</v>
      </c>
      <c r="C71" s="332">
        <f t="shared" si="2"/>
        <v>25</v>
      </c>
      <c r="D71" s="34">
        <f t="shared" si="3"/>
        <v>-246964.17</v>
      </c>
      <c r="E71" s="34">
        <f t="shared" si="0"/>
        <v>-5927140.0900000036</v>
      </c>
      <c r="F71" s="34"/>
    </row>
    <row r="72" spans="1:6" hidden="1" outlineLevel="1" x14ac:dyDescent="0.3">
      <c r="A72" s="331">
        <v>45047</v>
      </c>
      <c r="B72" s="34">
        <f t="shared" si="1"/>
        <v>-5927140.0900000036</v>
      </c>
      <c r="C72" s="332">
        <f t="shared" si="2"/>
        <v>24</v>
      </c>
      <c r="D72" s="34">
        <f t="shared" si="3"/>
        <v>-246964.17</v>
      </c>
      <c r="E72" s="34">
        <f t="shared" ref="E72:E95" si="4">B72-D72</f>
        <v>-5680175.9200000037</v>
      </c>
      <c r="F72" s="34"/>
    </row>
    <row r="73" spans="1:6" hidden="1" outlineLevel="1" x14ac:dyDescent="0.3">
      <c r="A73" s="331">
        <v>45078</v>
      </c>
      <c r="B73" s="34">
        <f t="shared" si="1"/>
        <v>-5680175.9200000037</v>
      </c>
      <c r="C73" s="332">
        <f t="shared" si="2"/>
        <v>23</v>
      </c>
      <c r="D73" s="34">
        <f t="shared" si="3"/>
        <v>-246964.17</v>
      </c>
      <c r="E73" s="34">
        <f t="shared" si="4"/>
        <v>-5433211.7500000037</v>
      </c>
      <c r="F73" s="34"/>
    </row>
    <row r="74" spans="1:6" hidden="1" outlineLevel="1" x14ac:dyDescent="0.3">
      <c r="A74" s="331">
        <v>45108</v>
      </c>
      <c r="B74" s="34">
        <f t="shared" si="1"/>
        <v>-5433211.7500000037</v>
      </c>
      <c r="C74" s="332">
        <f t="shared" si="2"/>
        <v>22</v>
      </c>
      <c r="D74" s="34">
        <f t="shared" si="3"/>
        <v>-246964.17</v>
      </c>
      <c r="E74" s="34">
        <f t="shared" si="4"/>
        <v>-5186247.5800000038</v>
      </c>
      <c r="F74" s="34"/>
    </row>
    <row r="75" spans="1:6" hidden="1" outlineLevel="1" x14ac:dyDescent="0.3">
      <c r="A75" s="331">
        <v>45139</v>
      </c>
      <c r="B75" s="34">
        <f t="shared" ref="B75:B95" si="5">E74</f>
        <v>-5186247.5800000038</v>
      </c>
      <c r="C75" s="332">
        <f t="shared" si="2"/>
        <v>21</v>
      </c>
      <c r="D75" s="34">
        <f t="shared" si="3"/>
        <v>-246964.17</v>
      </c>
      <c r="E75" s="34">
        <f t="shared" si="4"/>
        <v>-4939283.4100000039</v>
      </c>
      <c r="F75" s="34"/>
    </row>
    <row r="76" spans="1:6" hidden="1" outlineLevel="1" x14ac:dyDescent="0.3">
      <c r="A76" s="331">
        <v>45170</v>
      </c>
      <c r="B76" s="34">
        <f t="shared" si="5"/>
        <v>-4939283.4100000039</v>
      </c>
      <c r="C76" s="332">
        <f t="shared" si="2"/>
        <v>20</v>
      </c>
      <c r="D76" s="34">
        <f t="shared" si="3"/>
        <v>-246964.17</v>
      </c>
      <c r="E76" s="34">
        <f t="shared" si="4"/>
        <v>-4692319.2400000039</v>
      </c>
      <c r="F76" s="34"/>
    </row>
    <row r="77" spans="1:6" hidden="1" outlineLevel="1" x14ac:dyDescent="0.3">
      <c r="A77" s="331">
        <v>45200</v>
      </c>
      <c r="B77" s="34">
        <f t="shared" si="5"/>
        <v>-4692319.2400000039</v>
      </c>
      <c r="C77" s="332">
        <f t="shared" si="2"/>
        <v>19</v>
      </c>
      <c r="D77" s="34">
        <f t="shared" si="3"/>
        <v>-246964.17</v>
      </c>
      <c r="E77" s="34">
        <f t="shared" si="4"/>
        <v>-4445355.070000004</v>
      </c>
      <c r="F77" s="34"/>
    </row>
    <row r="78" spans="1:6" hidden="1" outlineLevel="1" x14ac:dyDescent="0.3">
      <c r="A78" s="331">
        <v>45231</v>
      </c>
      <c r="B78" s="34">
        <f t="shared" si="5"/>
        <v>-4445355.070000004</v>
      </c>
      <c r="C78" s="332">
        <f t="shared" si="2"/>
        <v>18</v>
      </c>
      <c r="D78" s="34">
        <f t="shared" si="3"/>
        <v>-246964.17</v>
      </c>
      <c r="E78" s="34">
        <f t="shared" si="4"/>
        <v>-4198390.9000000041</v>
      </c>
      <c r="F78" s="34"/>
    </row>
    <row r="79" spans="1:6" hidden="1" outlineLevel="1" x14ac:dyDescent="0.3">
      <c r="A79" s="331">
        <v>45261</v>
      </c>
      <c r="B79" s="34">
        <f t="shared" si="5"/>
        <v>-4198390.9000000041</v>
      </c>
      <c r="C79" s="332">
        <f t="shared" si="2"/>
        <v>17</v>
      </c>
      <c r="D79" s="34">
        <f t="shared" si="3"/>
        <v>-246964.17</v>
      </c>
      <c r="E79" s="34">
        <f t="shared" si="4"/>
        <v>-3951426.7300000042</v>
      </c>
      <c r="F79" s="34"/>
    </row>
    <row r="80" spans="1:6" hidden="1" outlineLevel="1" x14ac:dyDescent="0.3">
      <c r="A80" s="331">
        <v>45292</v>
      </c>
      <c r="B80" s="34">
        <f t="shared" si="5"/>
        <v>-3951426.7300000042</v>
      </c>
      <c r="C80" s="332">
        <f t="shared" si="2"/>
        <v>16</v>
      </c>
      <c r="D80" s="34">
        <f t="shared" si="3"/>
        <v>-246964.17</v>
      </c>
      <c r="E80" s="34">
        <f t="shared" si="4"/>
        <v>-3704462.5600000042</v>
      </c>
      <c r="F80" s="34"/>
    </row>
    <row r="81" spans="1:6" hidden="1" outlineLevel="1" x14ac:dyDescent="0.3">
      <c r="A81" s="331">
        <v>45323</v>
      </c>
      <c r="B81" s="34">
        <f t="shared" si="5"/>
        <v>-3704462.5600000042</v>
      </c>
      <c r="C81" s="332">
        <f t="shared" si="2"/>
        <v>15</v>
      </c>
      <c r="D81" s="34">
        <f t="shared" si="3"/>
        <v>-246964.17</v>
      </c>
      <c r="E81" s="34">
        <f t="shared" si="4"/>
        <v>-3457498.3900000043</v>
      </c>
      <c r="F81" s="34"/>
    </row>
    <row r="82" spans="1:6" hidden="1" outlineLevel="1" x14ac:dyDescent="0.3">
      <c r="A82" s="331">
        <v>45352</v>
      </c>
      <c r="B82" s="34">
        <f t="shared" si="5"/>
        <v>-3457498.3900000043</v>
      </c>
      <c r="C82" s="332">
        <f t="shared" si="2"/>
        <v>14</v>
      </c>
      <c r="D82" s="34">
        <f t="shared" si="3"/>
        <v>-246964.17</v>
      </c>
      <c r="E82" s="34">
        <f t="shared" si="4"/>
        <v>-3210534.2200000044</v>
      </c>
      <c r="F82" s="34"/>
    </row>
    <row r="83" spans="1:6" hidden="1" outlineLevel="1" x14ac:dyDescent="0.3">
      <c r="A83" s="331">
        <v>45383</v>
      </c>
      <c r="B83" s="34">
        <f t="shared" si="5"/>
        <v>-3210534.2200000044</v>
      </c>
      <c r="C83" s="332">
        <f t="shared" si="2"/>
        <v>13</v>
      </c>
      <c r="D83" s="34">
        <f t="shared" si="3"/>
        <v>-246964.17</v>
      </c>
      <c r="E83" s="34">
        <f t="shared" si="4"/>
        <v>-2963570.0500000045</v>
      </c>
      <c r="F83" s="34"/>
    </row>
    <row r="84" spans="1:6" hidden="1" outlineLevel="1" x14ac:dyDescent="0.3">
      <c r="A84" s="331">
        <v>45413</v>
      </c>
      <c r="B84" s="34">
        <f t="shared" si="5"/>
        <v>-2963570.0500000045</v>
      </c>
      <c r="C84" s="332">
        <f t="shared" si="2"/>
        <v>12</v>
      </c>
      <c r="D84" s="34">
        <f t="shared" si="3"/>
        <v>-246964.17</v>
      </c>
      <c r="E84" s="34">
        <f t="shared" si="4"/>
        <v>-2716605.8800000045</v>
      </c>
      <c r="F84" s="34"/>
    </row>
    <row r="85" spans="1:6" hidden="1" outlineLevel="1" x14ac:dyDescent="0.3">
      <c r="A85" s="331">
        <v>45444</v>
      </c>
      <c r="B85" s="34">
        <f t="shared" si="5"/>
        <v>-2716605.8800000045</v>
      </c>
      <c r="C85" s="332">
        <f t="shared" si="2"/>
        <v>11</v>
      </c>
      <c r="D85" s="34">
        <f t="shared" si="3"/>
        <v>-246964.17</v>
      </c>
      <c r="E85" s="34">
        <f t="shared" si="4"/>
        <v>-2469641.7100000046</v>
      </c>
      <c r="F85" s="34"/>
    </row>
    <row r="86" spans="1:6" hidden="1" outlineLevel="1" x14ac:dyDescent="0.3">
      <c r="A86" s="331">
        <v>45474</v>
      </c>
      <c r="B86" s="34">
        <f t="shared" si="5"/>
        <v>-2469641.7100000046</v>
      </c>
      <c r="C86" s="332">
        <f t="shared" si="2"/>
        <v>10</v>
      </c>
      <c r="D86" s="34">
        <f t="shared" si="3"/>
        <v>-246964.17</v>
      </c>
      <c r="E86" s="34">
        <f t="shared" si="4"/>
        <v>-2222677.5400000047</v>
      </c>
      <c r="F86" s="34"/>
    </row>
    <row r="87" spans="1:6" hidden="1" outlineLevel="1" x14ac:dyDescent="0.3">
      <c r="A87" s="331">
        <v>45505</v>
      </c>
      <c r="B87" s="34">
        <f t="shared" si="5"/>
        <v>-2222677.5400000047</v>
      </c>
      <c r="C87" s="332">
        <f t="shared" si="2"/>
        <v>9</v>
      </c>
      <c r="D87" s="34">
        <f t="shared" si="3"/>
        <v>-246964.17</v>
      </c>
      <c r="E87" s="34">
        <f t="shared" si="4"/>
        <v>-1975713.3700000048</v>
      </c>
      <c r="F87" s="34"/>
    </row>
    <row r="88" spans="1:6" hidden="1" outlineLevel="1" x14ac:dyDescent="0.3">
      <c r="A88" s="331">
        <v>45536</v>
      </c>
      <c r="B88" s="34">
        <f t="shared" si="5"/>
        <v>-1975713.3700000048</v>
      </c>
      <c r="C88" s="332">
        <f t="shared" si="2"/>
        <v>8</v>
      </c>
      <c r="D88" s="34">
        <f t="shared" si="3"/>
        <v>-246964.17</v>
      </c>
      <c r="E88" s="34">
        <f t="shared" si="4"/>
        <v>-1728749.2000000048</v>
      </c>
      <c r="F88" s="34"/>
    </row>
    <row r="89" spans="1:6" hidden="1" outlineLevel="1" x14ac:dyDescent="0.3">
      <c r="A89" s="331">
        <v>45566</v>
      </c>
      <c r="B89" s="34">
        <f t="shared" si="5"/>
        <v>-1728749.2000000048</v>
      </c>
      <c r="C89" s="332">
        <f t="shared" si="2"/>
        <v>7</v>
      </c>
      <c r="D89" s="34">
        <f t="shared" si="3"/>
        <v>-246964.17</v>
      </c>
      <c r="E89" s="34">
        <f t="shared" si="4"/>
        <v>-1481785.0300000049</v>
      </c>
      <c r="F89" s="34"/>
    </row>
    <row r="90" spans="1:6" hidden="1" outlineLevel="1" x14ac:dyDescent="0.3">
      <c r="A90" s="331">
        <v>45597</v>
      </c>
      <c r="B90" s="34">
        <f t="shared" si="5"/>
        <v>-1481785.0300000049</v>
      </c>
      <c r="C90" s="332">
        <f t="shared" si="2"/>
        <v>6</v>
      </c>
      <c r="D90" s="34">
        <f t="shared" si="3"/>
        <v>-246964.17</v>
      </c>
      <c r="E90" s="34">
        <f t="shared" si="4"/>
        <v>-1234820.860000005</v>
      </c>
      <c r="F90" s="34"/>
    </row>
    <row r="91" spans="1:6" hidden="1" outlineLevel="1" x14ac:dyDescent="0.3">
      <c r="A91" s="331">
        <v>45627</v>
      </c>
      <c r="B91" s="34">
        <f t="shared" si="5"/>
        <v>-1234820.860000005</v>
      </c>
      <c r="C91" s="332">
        <f t="shared" si="2"/>
        <v>5</v>
      </c>
      <c r="D91" s="34">
        <f t="shared" si="3"/>
        <v>-246964.17</v>
      </c>
      <c r="E91" s="34">
        <f t="shared" si="4"/>
        <v>-987856.69000000495</v>
      </c>
      <c r="F91" s="34"/>
    </row>
    <row r="92" spans="1:6" hidden="1" outlineLevel="1" x14ac:dyDescent="0.3">
      <c r="A92" s="331">
        <v>45658</v>
      </c>
      <c r="B92" s="34">
        <f t="shared" si="5"/>
        <v>-987856.69000000495</v>
      </c>
      <c r="C92" s="332">
        <f t="shared" si="2"/>
        <v>4</v>
      </c>
      <c r="D92" s="34">
        <f t="shared" si="3"/>
        <v>-246964.17</v>
      </c>
      <c r="E92" s="34">
        <f t="shared" si="4"/>
        <v>-740892.52000000491</v>
      </c>
      <c r="F92" s="34"/>
    </row>
    <row r="93" spans="1:6" hidden="1" outlineLevel="1" x14ac:dyDescent="0.3">
      <c r="A93" s="331">
        <v>45689</v>
      </c>
      <c r="B93" s="34">
        <f t="shared" si="5"/>
        <v>-740892.52000000491</v>
      </c>
      <c r="C93" s="332">
        <f t="shared" si="2"/>
        <v>3</v>
      </c>
      <c r="D93" s="34">
        <f t="shared" si="3"/>
        <v>-246964.17</v>
      </c>
      <c r="E93" s="34">
        <f t="shared" si="4"/>
        <v>-493928.35000000487</v>
      </c>
      <c r="F93" s="34"/>
    </row>
    <row r="94" spans="1:6" hidden="1" outlineLevel="1" x14ac:dyDescent="0.3">
      <c r="A94" s="331">
        <v>45717</v>
      </c>
      <c r="B94" s="34">
        <f t="shared" si="5"/>
        <v>-493928.35000000487</v>
      </c>
      <c r="C94" s="332">
        <f t="shared" si="2"/>
        <v>2</v>
      </c>
      <c r="D94" s="34">
        <f t="shared" si="3"/>
        <v>-246964.18</v>
      </c>
      <c r="E94" s="34">
        <f t="shared" si="4"/>
        <v>-246964.17000000487</v>
      </c>
      <c r="F94" s="34"/>
    </row>
    <row r="95" spans="1:6" hidden="1" outlineLevel="1" x14ac:dyDescent="0.3">
      <c r="A95" s="331">
        <v>45748</v>
      </c>
      <c r="B95" s="34">
        <f t="shared" si="5"/>
        <v>-246964.17000000487</v>
      </c>
      <c r="C95" s="332">
        <f t="shared" si="2"/>
        <v>1</v>
      </c>
      <c r="D95" s="34">
        <f t="shared" si="3"/>
        <v>-246964.17</v>
      </c>
      <c r="E95" s="34">
        <f t="shared" si="4"/>
        <v>-4.8603396862745285E-9</v>
      </c>
      <c r="F95" s="34"/>
    </row>
    <row r="96" spans="1:6" collapsed="1" x14ac:dyDescent="0.3">
      <c r="A96" s="333" t="s">
        <v>365</v>
      </c>
      <c r="B96" s="334"/>
      <c r="C96" s="334"/>
      <c r="D96" s="334"/>
      <c r="E96" s="334"/>
      <c r="F96" s="34"/>
    </row>
    <row r="97" spans="1:6" x14ac:dyDescent="0.3">
      <c r="A97" s="335" t="s">
        <v>479</v>
      </c>
      <c r="B97" s="336">
        <f>B19</f>
        <v>-14817850.210000001</v>
      </c>
      <c r="C97" s="337"/>
      <c r="D97" s="337"/>
      <c r="E97" s="338"/>
      <c r="F97" s="34"/>
    </row>
    <row r="98" spans="1:6" x14ac:dyDescent="0.3">
      <c r="A98" s="326" t="s">
        <v>480</v>
      </c>
      <c r="B98" s="88"/>
      <c r="C98" s="88"/>
      <c r="D98" s="339">
        <f>SUM(D36:D47)</f>
        <v>-2963570.0399999996</v>
      </c>
      <c r="E98" s="61">
        <f>((E35+E47+SUM(E36:E46)*2)/24)</f>
        <v>-13336065.189999999</v>
      </c>
      <c r="F98" s="34"/>
    </row>
    <row r="99" spans="1:6" x14ac:dyDescent="0.3">
      <c r="F99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6"/>
  <sheetViews>
    <sheetView topLeftCell="A3" zoomScaleNormal="100" workbookViewId="0">
      <pane xSplit="2" ySplit="1" topLeftCell="C1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0.6640625" defaultRowHeight="13.2" x14ac:dyDescent="0.25"/>
  <cols>
    <col min="1" max="1" width="6" style="70" customWidth="1"/>
    <col min="2" max="2" width="44.5546875" style="70" customWidth="1"/>
    <col min="3" max="3" width="13.5546875" style="70" bestFit="1" customWidth="1"/>
    <col min="4" max="4" width="5.109375" style="70" bestFit="1" customWidth="1"/>
    <col min="5" max="5" width="34.109375" style="70" bestFit="1" customWidth="1"/>
    <col min="6" max="6" width="10.44140625" style="70" bestFit="1" customWidth="1"/>
    <col min="7" max="7" width="12.109375" style="70" bestFit="1" customWidth="1"/>
    <col min="8" max="8" width="12.6640625" style="70" bestFit="1" customWidth="1"/>
    <col min="9" max="9" width="1.33203125" style="70" customWidth="1"/>
    <col min="10" max="10" width="20.109375" style="70" bestFit="1" customWidth="1"/>
    <col min="11" max="11" width="20.88671875" style="70" customWidth="1"/>
    <col min="12" max="12" width="15.6640625" style="70" bestFit="1" customWidth="1"/>
    <col min="13" max="13" width="15" style="70" bestFit="1" customWidth="1"/>
    <col min="14" max="14" width="17.6640625" style="70" customWidth="1"/>
    <col min="15" max="15" width="16.44140625" style="70" bestFit="1" customWidth="1"/>
    <col min="16" max="16384" width="10.6640625" style="70"/>
  </cols>
  <sheetData>
    <row r="2" spans="1:15" x14ac:dyDescent="0.25">
      <c r="A2" s="282"/>
    </row>
    <row r="3" spans="1:15" ht="17.399999999999999" x14ac:dyDescent="0.3">
      <c r="A3" s="283" t="s">
        <v>384</v>
      </c>
    </row>
    <row r="4" spans="1:15" x14ac:dyDescent="0.25">
      <c r="A4" s="168"/>
    </row>
    <row r="5" spans="1:15" x14ac:dyDescent="0.25">
      <c r="A5" s="168">
        <v>1</v>
      </c>
      <c r="B5" s="71" t="s">
        <v>364</v>
      </c>
      <c r="E5" s="284"/>
      <c r="F5" s="284"/>
      <c r="G5" s="284"/>
      <c r="O5" s="285"/>
    </row>
    <row r="6" spans="1:15" x14ac:dyDescent="0.25">
      <c r="A6" s="168">
        <f t="shared" ref="A6:A13" si="0">+A5+1</f>
        <v>2</v>
      </c>
      <c r="E6" s="284"/>
      <c r="F6" s="284"/>
      <c r="G6" s="284"/>
      <c r="O6" s="285"/>
    </row>
    <row r="7" spans="1:15" ht="26.4" x14ac:dyDescent="0.25">
      <c r="A7" s="168">
        <f t="shared" si="0"/>
        <v>3</v>
      </c>
      <c r="B7" s="286" t="s">
        <v>51</v>
      </c>
      <c r="C7" s="286" t="s">
        <v>50</v>
      </c>
      <c r="D7" s="286" t="s">
        <v>49</v>
      </c>
      <c r="E7" s="286" t="s">
        <v>48</v>
      </c>
      <c r="F7" s="286" t="s">
        <v>47</v>
      </c>
      <c r="G7" s="287" t="s">
        <v>46</v>
      </c>
      <c r="H7" s="286" t="s">
        <v>45</v>
      </c>
      <c r="O7" s="285"/>
    </row>
    <row r="8" spans="1:15" x14ac:dyDescent="0.25">
      <c r="A8" s="168">
        <f t="shared" si="0"/>
        <v>4</v>
      </c>
      <c r="B8" s="288" t="s">
        <v>387</v>
      </c>
      <c r="C8" s="288"/>
      <c r="D8" s="289" t="s">
        <v>44</v>
      </c>
      <c r="E8" s="290" t="s">
        <v>385</v>
      </c>
      <c r="F8" s="291" t="s">
        <v>32</v>
      </c>
      <c r="G8" s="292">
        <v>-12929.322150284017</v>
      </c>
      <c r="H8" s="293"/>
      <c r="O8" s="285"/>
    </row>
    <row r="9" spans="1:15" x14ac:dyDescent="0.25">
      <c r="A9" s="168">
        <f t="shared" si="0"/>
        <v>5</v>
      </c>
      <c r="B9" s="294"/>
      <c r="C9" s="295"/>
      <c r="D9" s="296" t="s">
        <v>44</v>
      </c>
      <c r="E9" s="297" t="s">
        <v>386</v>
      </c>
      <c r="F9" s="298" t="s">
        <v>32</v>
      </c>
      <c r="G9" s="299">
        <v>252291.67542171292</v>
      </c>
      <c r="H9" s="300">
        <f>SUM(F8:G9)</f>
        <v>239362.3532714289</v>
      </c>
      <c r="J9" s="223">
        <v>0</v>
      </c>
      <c r="O9" s="285"/>
    </row>
    <row r="10" spans="1:15" x14ac:dyDescent="0.25">
      <c r="A10" s="168">
        <f t="shared" si="0"/>
        <v>6</v>
      </c>
      <c r="B10" s="288" t="s">
        <v>43</v>
      </c>
      <c r="C10" s="288"/>
      <c r="D10" s="289" t="s">
        <v>44</v>
      </c>
      <c r="E10" s="290" t="s">
        <v>42</v>
      </c>
      <c r="F10" s="293">
        <v>1833483.02</v>
      </c>
      <c r="G10" s="292" t="s">
        <v>32</v>
      </c>
      <c r="H10" s="293"/>
      <c r="O10" s="285"/>
    </row>
    <row r="11" spans="1:15" x14ac:dyDescent="0.25">
      <c r="A11" s="168">
        <f t="shared" si="0"/>
        <v>7</v>
      </c>
      <c r="B11" s="81"/>
      <c r="C11" s="295"/>
      <c r="D11" s="296" t="s">
        <v>44</v>
      </c>
      <c r="E11" s="297" t="s">
        <v>41</v>
      </c>
      <c r="F11" s="300">
        <v>6141737.9100000001</v>
      </c>
      <c r="G11" s="299" t="s">
        <v>32</v>
      </c>
      <c r="H11" s="300"/>
      <c r="O11" s="285"/>
    </row>
    <row r="12" spans="1:15" x14ac:dyDescent="0.25">
      <c r="A12" s="168">
        <f t="shared" si="0"/>
        <v>8</v>
      </c>
      <c r="B12" s="295"/>
      <c r="C12" s="301">
        <v>0.25672064441056064</v>
      </c>
      <c r="D12" s="296" t="s">
        <v>44</v>
      </c>
      <c r="E12" s="294" t="s">
        <v>40</v>
      </c>
      <c r="F12" s="298" t="s">
        <v>32</v>
      </c>
      <c r="G12" s="302">
        <v>560934.35193913046</v>
      </c>
      <c r="H12" s="300"/>
      <c r="O12" s="285"/>
    </row>
    <row r="13" spans="1:15" x14ac:dyDescent="0.25">
      <c r="A13" s="168">
        <f t="shared" si="0"/>
        <v>9</v>
      </c>
      <c r="B13" s="295"/>
      <c r="C13" s="301">
        <v>0.25672064441056064</v>
      </c>
      <c r="D13" s="296" t="s">
        <v>44</v>
      </c>
      <c r="E13" s="294" t="s">
        <v>39</v>
      </c>
      <c r="F13" s="298" t="s">
        <v>32</v>
      </c>
      <c r="G13" s="299">
        <v>71925.299447715617</v>
      </c>
      <c r="H13" s="300"/>
      <c r="O13" s="285"/>
    </row>
    <row r="14" spans="1:15" x14ac:dyDescent="0.25">
      <c r="A14" s="168">
        <f t="shared" ref="A14:A51" si="1">+A13+1</f>
        <v>10</v>
      </c>
      <c r="B14" s="303"/>
      <c r="C14" s="304">
        <v>0.25672064441056064</v>
      </c>
      <c r="D14" s="305" t="s">
        <v>44</v>
      </c>
      <c r="E14" s="306" t="s">
        <v>38</v>
      </c>
      <c r="F14" s="307" t="s">
        <v>32</v>
      </c>
      <c r="G14" s="307">
        <v>232379.99843077533</v>
      </c>
      <c r="H14" s="308">
        <f>SUM(F10:G14)</f>
        <v>8840460.579817621</v>
      </c>
      <c r="O14" s="285"/>
    </row>
    <row r="15" spans="1:15" x14ac:dyDescent="0.25">
      <c r="A15" s="168">
        <f t="shared" si="1"/>
        <v>11</v>
      </c>
      <c r="B15" s="309"/>
      <c r="C15" s="301"/>
      <c r="D15" s="296" t="s">
        <v>44</v>
      </c>
      <c r="E15" s="294" t="s">
        <v>347</v>
      </c>
      <c r="F15" s="298">
        <v>323117.56</v>
      </c>
      <c r="G15" s="299" t="s">
        <v>32</v>
      </c>
      <c r="H15" s="300"/>
      <c r="O15" s="285"/>
    </row>
    <row r="16" spans="1:15" x14ac:dyDescent="0.25">
      <c r="A16" s="168">
        <f t="shared" si="1"/>
        <v>12</v>
      </c>
      <c r="B16" s="81"/>
      <c r="C16" s="310"/>
      <c r="D16" s="296" t="s">
        <v>44</v>
      </c>
      <c r="E16" s="294" t="s">
        <v>348</v>
      </c>
      <c r="F16" s="298">
        <v>1619460.36</v>
      </c>
      <c r="G16" s="299" t="s">
        <v>32</v>
      </c>
      <c r="H16" s="300"/>
      <c r="O16" s="285"/>
    </row>
    <row r="17" spans="1:15" x14ac:dyDescent="0.25">
      <c r="A17" s="168">
        <f t="shared" si="1"/>
        <v>13</v>
      </c>
      <c r="B17" s="294" t="s">
        <v>37</v>
      </c>
      <c r="C17" s="310">
        <v>0.25672064441056064</v>
      </c>
      <c r="D17" s="296" t="s">
        <v>44</v>
      </c>
      <c r="E17" s="311" t="s">
        <v>36</v>
      </c>
      <c r="F17" s="298" t="s">
        <v>32</v>
      </c>
      <c r="G17" s="302">
        <v>51754.972541228759</v>
      </c>
      <c r="H17" s="300"/>
      <c r="O17" s="285"/>
    </row>
    <row r="18" spans="1:15" x14ac:dyDescent="0.25">
      <c r="A18" s="168">
        <f t="shared" si="1"/>
        <v>14</v>
      </c>
      <c r="B18" s="303"/>
      <c r="C18" s="304">
        <v>0.25672064441056064</v>
      </c>
      <c r="D18" s="296" t="s">
        <v>44</v>
      </c>
      <c r="E18" s="312" t="s">
        <v>35</v>
      </c>
      <c r="F18" s="307" t="s">
        <v>32</v>
      </c>
      <c r="G18" s="313">
        <v>-4865.2911969065954</v>
      </c>
      <c r="H18" s="308">
        <f>SUM(F15:G18)</f>
        <v>1989467.6013443223</v>
      </c>
      <c r="O18" s="285"/>
    </row>
    <row r="19" spans="1:15" x14ac:dyDescent="0.25">
      <c r="A19" s="168">
        <f t="shared" si="1"/>
        <v>15</v>
      </c>
      <c r="B19" s="314" t="s">
        <v>34</v>
      </c>
      <c r="C19" s="314"/>
      <c r="D19" s="314"/>
      <c r="E19" s="314" t="s">
        <v>33</v>
      </c>
      <c r="F19" s="315" t="s">
        <v>32</v>
      </c>
      <c r="G19" s="315" t="s">
        <v>32</v>
      </c>
      <c r="H19" s="178">
        <v>3895439.2738404199</v>
      </c>
      <c r="O19" s="285"/>
    </row>
    <row r="20" spans="1:15" x14ac:dyDescent="0.25">
      <c r="A20" s="168">
        <f t="shared" si="1"/>
        <v>16</v>
      </c>
      <c r="B20" s="314"/>
      <c r="C20" s="314"/>
      <c r="D20" s="314"/>
      <c r="E20" s="314"/>
      <c r="F20" s="315"/>
      <c r="G20" s="315"/>
      <c r="H20" s="178"/>
      <c r="N20" s="173"/>
      <c r="O20" s="285"/>
    </row>
    <row r="21" spans="1:15" x14ac:dyDescent="0.25">
      <c r="A21" s="168">
        <f t="shared" si="1"/>
        <v>17</v>
      </c>
      <c r="B21" s="69"/>
      <c r="C21" s="69"/>
      <c r="D21" s="69"/>
      <c r="E21" s="69"/>
      <c r="F21" s="69"/>
      <c r="G21" s="69"/>
      <c r="N21" s="173"/>
      <c r="O21" s="285"/>
    </row>
    <row r="22" spans="1:15" x14ac:dyDescent="0.25">
      <c r="A22" s="168">
        <f t="shared" si="1"/>
        <v>18</v>
      </c>
      <c r="B22" s="71" t="s">
        <v>31</v>
      </c>
      <c r="C22" s="69"/>
      <c r="D22" s="69"/>
      <c r="E22" s="69"/>
      <c r="F22" s="69"/>
      <c r="G22" s="69"/>
      <c r="H22" s="69"/>
      <c r="I22" s="69"/>
      <c r="J22" s="69"/>
      <c r="K22" s="284"/>
      <c r="L22" s="173"/>
      <c r="M22" s="173"/>
      <c r="N22" s="173"/>
      <c r="O22" s="285"/>
    </row>
    <row r="23" spans="1:15" ht="14.4" x14ac:dyDescent="0.3">
      <c r="A23" s="168">
        <f t="shared" si="1"/>
        <v>19</v>
      </c>
      <c r="C23" s="168" t="s">
        <v>372</v>
      </c>
      <c r="D23" s="36"/>
      <c r="E23" s="36"/>
      <c r="G23" s="316"/>
      <c r="H23" s="36"/>
      <c r="I23" s="69"/>
      <c r="J23" s="69"/>
      <c r="K23" s="223"/>
      <c r="L23" s="173"/>
      <c r="M23" s="173"/>
      <c r="N23" s="173"/>
      <c r="O23" s="285"/>
    </row>
    <row r="24" spans="1:15" ht="14.4" x14ac:dyDescent="0.3">
      <c r="A24" s="168">
        <f t="shared" si="1"/>
        <v>20</v>
      </c>
      <c r="B24" s="168"/>
      <c r="C24" s="168" t="s">
        <v>373</v>
      </c>
      <c r="D24" s="36"/>
      <c r="E24" s="36"/>
      <c r="G24" s="317"/>
      <c r="H24" s="36"/>
      <c r="I24" s="69"/>
      <c r="J24" s="69"/>
      <c r="K24" s="223"/>
      <c r="L24" s="173"/>
      <c r="M24" s="173"/>
      <c r="N24" s="173"/>
      <c r="O24" s="285"/>
    </row>
    <row r="25" spans="1:15" ht="14.4" x14ac:dyDescent="0.3">
      <c r="A25" s="168">
        <f t="shared" si="1"/>
        <v>21</v>
      </c>
      <c r="B25" s="318" t="s">
        <v>30</v>
      </c>
      <c r="C25" s="318" t="s">
        <v>29</v>
      </c>
      <c r="D25" s="36"/>
      <c r="E25" s="36"/>
      <c r="G25" s="36"/>
      <c r="H25" s="36"/>
      <c r="I25" s="36"/>
      <c r="J25" s="69"/>
      <c r="K25" s="223"/>
      <c r="L25" s="173"/>
      <c r="M25" s="173"/>
      <c r="N25" s="173"/>
      <c r="O25" s="285"/>
    </row>
    <row r="26" spans="1:15" ht="14.4" x14ac:dyDescent="0.3">
      <c r="A26" s="168">
        <f t="shared" si="1"/>
        <v>22</v>
      </c>
      <c r="C26" s="285"/>
      <c r="D26" s="36"/>
      <c r="E26" s="36"/>
      <c r="G26" s="36"/>
      <c r="H26" s="36"/>
      <c r="I26" s="36"/>
      <c r="J26" s="284"/>
      <c r="K26" s="223"/>
      <c r="L26" s="173"/>
      <c r="M26" s="173"/>
      <c r="N26" s="173"/>
      <c r="O26" s="285"/>
    </row>
    <row r="27" spans="1:15" ht="14.4" x14ac:dyDescent="0.3">
      <c r="A27" s="168">
        <f t="shared" si="1"/>
        <v>23</v>
      </c>
      <c r="D27" s="36"/>
      <c r="E27" s="36"/>
      <c r="G27" s="36"/>
      <c r="H27" s="36"/>
      <c r="I27" s="36"/>
      <c r="J27" s="284"/>
      <c r="K27" s="223"/>
      <c r="L27" s="173"/>
      <c r="M27" s="173"/>
      <c r="N27" s="173"/>
      <c r="O27" s="285"/>
    </row>
    <row r="28" spans="1:15" ht="14.4" x14ac:dyDescent="0.3">
      <c r="A28" s="168">
        <f t="shared" si="1"/>
        <v>24</v>
      </c>
      <c r="B28" s="319" t="s">
        <v>28</v>
      </c>
      <c r="D28" s="36"/>
      <c r="E28" s="36"/>
      <c r="G28" s="36"/>
      <c r="H28" s="36"/>
      <c r="I28" s="36"/>
      <c r="J28" s="284"/>
      <c r="K28" s="223"/>
      <c r="L28" s="284"/>
      <c r="M28" s="284"/>
      <c r="O28" s="285"/>
    </row>
    <row r="29" spans="1:15" ht="14.4" x14ac:dyDescent="0.3">
      <c r="A29" s="168">
        <f t="shared" si="1"/>
        <v>25</v>
      </c>
      <c r="B29" s="232" t="s">
        <v>27</v>
      </c>
      <c r="C29" s="285">
        <f>'Prod 12-2018'!H64</f>
        <v>161494372.11813086</v>
      </c>
      <c r="G29" s="36"/>
      <c r="H29" s="36"/>
      <c r="I29" s="36"/>
      <c r="J29" s="69"/>
      <c r="K29" s="69"/>
      <c r="L29" s="284"/>
      <c r="M29" s="284"/>
      <c r="O29" s="285"/>
    </row>
    <row r="30" spans="1:15" ht="14.4" x14ac:dyDescent="0.3">
      <c r="A30" s="168">
        <f t="shared" si="1"/>
        <v>26</v>
      </c>
      <c r="B30" s="232" t="s">
        <v>389</v>
      </c>
      <c r="C30" s="173">
        <v>395441.41942361742</v>
      </c>
      <c r="G30" s="36"/>
      <c r="H30" s="36"/>
      <c r="I30" s="69"/>
      <c r="J30" s="69"/>
      <c r="K30" s="69"/>
      <c r="L30" s="284"/>
      <c r="M30" s="284"/>
      <c r="O30" s="285"/>
    </row>
    <row r="31" spans="1:15" ht="14.4" x14ac:dyDescent="0.3">
      <c r="A31" s="168">
        <f t="shared" si="1"/>
        <v>27</v>
      </c>
      <c r="B31" s="232" t="s">
        <v>26</v>
      </c>
      <c r="C31" s="173">
        <v>-212064</v>
      </c>
      <c r="G31" s="36"/>
      <c r="H31" s="36"/>
      <c r="J31" s="284"/>
      <c r="K31" s="284"/>
      <c r="L31" s="284"/>
      <c r="M31" s="284"/>
      <c r="O31" s="285"/>
    </row>
    <row r="32" spans="1:15" ht="14.4" x14ac:dyDescent="0.3">
      <c r="A32" s="168">
        <f t="shared" si="1"/>
        <v>28</v>
      </c>
      <c r="B32" s="70" t="s">
        <v>461</v>
      </c>
      <c r="C32" s="173">
        <v>-2348854.8283335716</v>
      </c>
      <c r="G32" s="36"/>
      <c r="H32" s="36"/>
      <c r="J32" s="284"/>
      <c r="K32" s="284"/>
      <c r="L32" s="284"/>
      <c r="M32" s="284"/>
      <c r="O32" s="285"/>
    </row>
    <row r="33" spans="1:15" ht="14.4" x14ac:dyDescent="0.3">
      <c r="A33" s="168">
        <f t="shared" si="1"/>
        <v>29</v>
      </c>
      <c r="B33" s="232"/>
      <c r="C33" s="173"/>
      <c r="G33" s="36"/>
      <c r="H33" s="36"/>
      <c r="K33" s="284"/>
      <c r="L33" s="284"/>
      <c r="M33" s="284"/>
      <c r="O33" s="285"/>
    </row>
    <row r="34" spans="1:15" ht="14.4" x14ac:dyDescent="0.3">
      <c r="A34" s="168">
        <f t="shared" si="1"/>
        <v>30</v>
      </c>
      <c r="B34" s="320" t="s">
        <v>25</v>
      </c>
      <c r="C34" s="321">
        <f>SUM(C29:C33)</f>
        <v>159328894.70922089</v>
      </c>
      <c r="G34" s="36"/>
      <c r="H34" s="36"/>
      <c r="J34" s="284"/>
      <c r="K34" s="284"/>
      <c r="L34" s="284"/>
      <c r="M34" s="284"/>
      <c r="O34" s="285"/>
    </row>
    <row r="35" spans="1:15" ht="14.4" x14ac:dyDescent="0.3">
      <c r="A35" s="168">
        <f t="shared" si="1"/>
        <v>31</v>
      </c>
      <c r="B35" s="319" t="s">
        <v>24</v>
      </c>
      <c r="C35" s="285"/>
      <c r="G35" s="36"/>
      <c r="H35" s="36"/>
      <c r="J35" s="284"/>
      <c r="K35" s="284"/>
      <c r="L35" s="284"/>
      <c r="M35" s="284"/>
      <c r="O35" s="285"/>
    </row>
    <row r="36" spans="1:15" ht="14.4" x14ac:dyDescent="0.3">
      <c r="A36" s="168">
        <f t="shared" si="1"/>
        <v>32</v>
      </c>
      <c r="B36" s="322" t="s">
        <v>23</v>
      </c>
      <c r="C36" s="285">
        <f>'Prod 12-2018'!H83</f>
        <v>7034654.7080000006</v>
      </c>
      <c r="G36" s="36"/>
      <c r="H36" s="36"/>
      <c r="J36" s="284"/>
      <c r="K36" s="284"/>
      <c r="L36" s="284"/>
      <c r="M36" s="284"/>
      <c r="O36" s="285"/>
    </row>
    <row r="37" spans="1:15" ht="14.4" x14ac:dyDescent="0.3">
      <c r="A37" s="168">
        <f t="shared" si="1"/>
        <v>33</v>
      </c>
      <c r="B37" s="322" t="s">
        <v>22</v>
      </c>
      <c r="C37" s="173">
        <f>'Colstrip FERC'!G290</f>
        <v>354668.75999999978</v>
      </c>
      <c r="G37" s="36"/>
      <c r="H37" s="36"/>
      <c r="J37" s="284"/>
      <c r="K37" s="284"/>
      <c r="L37" s="284"/>
      <c r="M37" s="284"/>
      <c r="O37" s="285"/>
    </row>
    <row r="38" spans="1:15" ht="14.4" x14ac:dyDescent="0.3">
      <c r="A38" s="168">
        <f t="shared" si="1"/>
        <v>34</v>
      </c>
      <c r="B38" s="322" t="s">
        <v>21</v>
      </c>
      <c r="C38" s="173">
        <f>'Account 406'!G16</f>
        <v>104311.20599999999</v>
      </c>
      <c r="D38" s="323"/>
      <c r="E38" s="324"/>
      <c r="G38" s="36"/>
      <c r="H38" s="36"/>
      <c r="J38" s="284"/>
      <c r="K38" s="284"/>
      <c r="L38" s="284"/>
      <c r="M38" s="284"/>
      <c r="O38" s="285"/>
    </row>
    <row r="39" spans="1:15" ht="14.4" x14ac:dyDescent="0.3">
      <c r="A39" s="168">
        <f t="shared" si="1"/>
        <v>35</v>
      </c>
      <c r="B39" s="322" t="s">
        <v>20</v>
      </c>
      <c r="C39" s="173">
        <f>'Account 406'!C30</f>
        <v>2652900</v>
      </c>
      <c r="E39" s="262"/>
      <c r="G39" s="36"/>
      <c r="H39" s="36"/>
      <c r="J39" s="284"/>
      <c r="K39" s="284"/>
      <c r="L39" s="284"/>
      <c r="M39" s="284"/>
      <c r="O39" s="285"/>
    </row>
    <row r="40" spans="1:15" ht="14.4" x14ac:dyDescent="0.3">
      <c r="A40" s="168">
        <f t="shared" si="1"/>
        <v>36</v>
      </c>
      <c r="B40" s="322" t="s">
        <v>468</v>
      </c>
      <c r="C40" s="173">
        <f>'Account 406'!C44</f>
        <v>4616499.3600000013</v>
      </c>
      <c r="E40" s="262"/>
      <c r="G40" s="36"/>
      <c r="H40" s="36"/>
      <c r="J40" s="284"/>
      <c r="K40" s="284"/>
      <c r="L40" s="284"/>
      <c r="M40" s="284"/>
      <c r="O40" s="285"/>
    </row>
    <row r="41" spans="1:15" ht="14.4" x14ac:dyDescent="0.3">
      <c r="A41" s="168">
        <f t="shared" si="1"/>
        <v>37</v>
      </c>
      <c r="B41" s="322" t="s">
        <v>19</v>
      </c>
      <c r="C41" s="173">
        <f>'Account 406'!C58</f>
        <v>1144993.8</v>
      </c>
      <c r="E41" s="262"/>
      <c r="G41" s="36"/>
      <c r="H41" s="36"/>
      <c r="J41" s="284"/>
      <c r="K41" s="284"/>
      <c r="L41" s="284"/>
      <c r="M41" s="284"/>
      <c r="O41" s="285"/>
    </row>
    <row r="42" spans="1:15" ht="14.4" x14ac:dyDescent="0.3">
      <c r="A42" s="168">
        <f t="shared" si="1"/>
        <v>38</v>
      </c>
      <c r="B42" s="320" t="s">
        <v>18</v>
      </c>
      <c r="C42" s="321">
        <f>SUM(C36:C41)</f>
        <v>15908027.834000003</v>
      </c>
      <c r="E42" s="262"/>
      <c r="G42" s="36"/>
      <c r="H42" s="36"/>
      <c r="J42" s="284"/>
      <c r="K42" s="284"/>
      <c r="L42" s="284"/>
      <c r="M42" s="284"/>
      <c r="O42" s="285"/>
    </row>
    <row r="43" spans="1:15" ht="14.4" x14ac:dyDescent="0.3">
      <c r="A43" s="168">
        <f t="shared" si="1"/>
        <v>39</v>
      </c>
      <c r="B43" s="70" t="s">
        <v>17</v>
      </c>
      <c r="C43" s="325">
        <f>C34+C42</f>
        <v>175236922.54322088</v>
      </c>
      <c r="G43" s="36"/>
      <c r="H43" s="36"/>
      <c r="J43" s="284"/>
      <c r="K43" s="284"/>
      <c r="L43" s="284"/>
      <c r="M43" s="284"/>
      <c r="O43" s="285"/>
    </row>
    <row r="44" spans="1:15" ht="14.4" x14ac:dyDescent="0.3">
      <c r="A44" s="168">
        <f t="shared" si="1"/>
        <v>40</v>
      </c>
      <c r="G44" s="36"/>
      <c r="H44" s="36"/>
      <c r="J44" s="284"/>
      <c r="K44" s="284"/>
      <c r="L44" s="284"/>
      <c r="M44" s="284"/>
      <c r="O44" s="285"/>
    </row>
    <row r="45" spans="1:15" ht="14.4" x14ac:dyDescent="0.3">
      <c r="A45" s="168">
        <f t="shared" si="1"/>
        <v>41</v>
      </c>
      <c r="G45" s="36"/>
      <c r="H45" s="36"/>
      <c r="J45" s="284"/>
      <c r="K45" s="284"/>
      <c r="L45" s="284"/>
      <c r="M45" s="284"/>
      <c r="O45" s="285"/>
    </row>
    <row r="46" spans="1:15" ht="14.4" x14ac:dyDescent="0.3">
      <c r="A46" s="168">
        <f t="shared" si="1"/>
        <v>42</v>
      </c>
      <c r="B46" s="320"/>
      <c r="G46" s="36"/>
      <c r="H46" s="36"/>
    </row>
    <row r="47" spans="1:15" ht="14.4" x14ac:dyDescent="0.3">
      <c r="A47" s="168">
        <f t="shared" si="1"/>
        <v>43</v>
      </c>
      <c r="B47" s="320"/>
      <c r="G47" s="36"/>
      <c r="H47" s="36"/>
    </row>
    <row r="48" spans="1:15" x14ac:dyDescent="0.25">
      <c r="A48" s="168">
        <f t="shared" si="1"/>
        <v>44</v>
      </c>
      <c r="B48" s="70" t="s">
        <v>538</v>
      </c>
    </row>
    <row r="49" spans="1:11" x14ac:dyDescent="0.25">
      <c r="A49" s="168">
        <f t="shared" si="1"/>
        <v>45</v>
      </c>
      <c r="B49" s="320" t="s">
        <v>16</v>
      </c>
    </row>
    <row r="50" spans="1:11" x14ac:dyDescent="0.25">
      <c r="A50" s="168">
        <f t="shared" si="1"/>
        <v>46</v>
      </c>
      <c r="B50" s="320" t="s">
        <v>539</v>
      </c>
    </row>
    <row r="51" spans="1:11" x14ac:dyDescent="0.25">
      <c r="A51" s="168">
        <f t="shared" si="1"/>
        <v>47</v>
      </c>
      <c r="B51" s="320" t="s">
        <v>15</v>
      </c>
    </row>
    <row r="52" spans="1:11" x14ac:dyDescent="0.25">
      <c r="A52" s="168"/>
    </row>
    <row r="53" spans="1:11" ht="14.4" x14ac:dyDescent="0.3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ht="14.4" x14ac:dyDescent="0.3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ht="14.4" x14ac:dyDescent="0.3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ht="14.4" x14ac:dyDescent="0.3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ht="14.4" x14ac:dyDescent="0.3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ht="14.4" x14ac:dyDescent="0.3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ht="14.4" x14ac:dyDescent="0.3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ht="14.4" x14ac:dyDescent="0.3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ht="14.4" x14ac:dyDescent="0.3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ht="14.4" x14ac:dyDescent="0.3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ht="14.4" x14ac:dyDescent="0.3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ht="14.4" x14ac:dyDescent="0.3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4" ht="14.4" x14ac:dyDescent="0.3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4" ht="14.4" x14ac:dyDescent="0.3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4" ht="14.4" x14ac:dyDescent="0.3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4" ht="14.4" x14ac:dyDescent="0.3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4" ht="14.4" x14ac:dyDescent="0.3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4" ht="14.4" x14ac:dyDescent="0.3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4" ht="14.4" x14ac:dyDescent="0.3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42"/>
      <c r="M71" s="42"/>
      <c r="N71" s="42"/>
    </row>
    <row r="72" spans="1:14" ht="14.4" x14ac:dyDescent="0.3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42"/>
      <c r="M72" s="42"/>
      <c r="N72" s="42"/>
    </row>
    <row r="73" spans="1:14" ht="14.4" x14ac:dyDescent="0.3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42"/>
      <c r="M73" s="42"/>
      <c r="N73" s="42"/>
    </row>
    <row r="74" spans="1:14" ht="14.4" x14ac:dyDescent="0.3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42"/>
      <c r="M74" s="42"/>
      <c r="N74" s="42"/>
    </row>
    <row r="75" spans="1:14" ht="14.4" x14ac:dyDescent="0.3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42"/>
      <c r="M75" s="42"/>
      <c r="N75" s="42"/>
    </row>
    <row r="76" spans="1:14" ht="14.4" x14ac:dyDescent="0.3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42"/>
      <c r="M76" s="42"/>
      <c r="N76" s="42"/>
    </row>
    <row r="77" spans="1:14" ht="14.4" x14ac:dyDescent="0.3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42"/>
      <c r="M77" s="42"/>
      <c r="N77" s="42"/>
    </row>
    <row r="78" spans="1:14" ht="14.4" x14ac:dyDescent="0.3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42"/>
      <c r="M78" s="42"/>
      <c r="N78" s="42"/>
    </row>
    <row r="79" spans="1:14" ht="14.4" x14ac:dyDescent="0.3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42"/>
      <c r="M79" s="42"/>
      <c r="N79" s="42"/>
    </row>
    <row r="80" spans="1:14" ht="14.4" x14ac:dyDescent="0.3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42"/>
      <c r="M80" s="42"/>
      <c r="N80" s="42"/>
    </row>
    <row r="81" spans="1:14" ht="14.4" x14ac:dyDescent="0.3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42"/>
      <c r="M81" s="42"/>
      <c r="N81" s="42"/>
    </row>
    <row r="82" spans="1:14" ht="14.4" x14ac:dyDescent="0.3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59"/>
      <c r="M82" s="59"/>
      <c r="N82" s="59"/>
    </row>
    <row r="83" spans="1:14" ht="14.4" x14ac:dyDescent="0.3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59"/>
      <c r="M83" s="59"/>
      <c r="N83" s="59"/>
    </row>
    <row r="84" spans="1:14" ht="14.4" x14ac:dyDescent="0.3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59"/>
      <c r="M84" s="59"/>
      <c r="N84" s="59"/>
    </row>
    <row r="85" spans="1:14" ht="14.4" x14ac:dyDescent="0.3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59"/>
      <c r="M85" s="59"/>
      <c r="N85" s="59"/>
    </row>
    <row r="86" spans="1:14" ht="14.4" x14ac:dyDescent="0.3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59"/>
      <c r="M86" s="59"/>
      <c r="N86" s="59"/>
    </row>
    <row r="87" spans="1:14" ht="14.4" x14ac:dyDescent="0.3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59"/>
      <c r="M87" s="59"/>
      <c r="N87" s="59"/>
    </row>
    <row r="88" spans="1:14" ht="14.4" x14ac:dyDescent="0.3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42"/>
      <c r="M88" s="42"/>
      <c r="N88" s="42"/>
    </row>
    <row r="89" spans="1:14" ht="14.4" x14ac:dyDescent="0.3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42"/>
      <c r="M89" s="42"/>
      <c r="N89" s="42"/>
    </row>
    <row r="90" spans="1:14" ht="14.4" x14ac:dyDescent="0.3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42"/>
      <c r="M90" s="42"/>
      <c r="N90" s="42"/>
    </row>
    <row r="91" spans="1:14" ht="14.4" x14ac:dyDescent="0.3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42"/>
      <c r="M91" s="42"/>
      <c r="N91" s="42"/>
    </row>
    <row r="92" spans="1:14" ht="14.4" x14ac:dyDescent="0.3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42"/>
      <c r="M92" s="42"/>
      <c r="N92" s="42"/>
    </row>
    <row r="93" spans="1:14" ht="14.4" x14ac:dyDescent="0.3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42"/>
      <c r="M93" s="42"/>
      <c r="N93" s="42"/>
    </row>
    <row r="94" spans="1:14" ht="14.4" x14ac:dyDescent="0.3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42"/>
      <c r="M94" s="42"/>
      <c r="N94" s="42"/>
    </row>
    <row r="95" spans="1:14" ht="14.4" x14ac:dyDescent="0.3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42"/>
      <c r="M95" s="42"/>
      <c r="N95" s="42"/>
    </row>
    <row r="96" spans="1:14" ht="14.4" x14ac:dyDescent="0.3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42"/>
      <c r="M96" s="42"/>
      <c r="N96" s="42"/>
    </row>
    <row r="97" spans="1:14" ht="14.4" x14ac:dyDescent="0.3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42"/>
      <c r="M97" s="42"/>
      <c r="N97" s="42"/>
    </row>
    <row r="98" spans="1:14" ht="14.4" x14ac:dyDescent="0.3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42"/>
      <c r="M98" s="42"/>
      <c r="N98" s="42"/>
    </row>
    <row r="99" spans="1:14" ht="14.4" x14ac:dyDescent="0.3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42"/>
      <c r="M99" s="42"/>
      <c r="N99" s="42"/>
    </row>
    <row r="100" spans="1:14" ht="14.4" x14ac:dyDescent="0.3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42"/>
      <c r="M100" s="42"/>
      <c r="N100" s="42"/>
    </row>
    <row r="101" spans="1:14" ht="14.4" x14ac:dyDescent="0.3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42"/>
      <c r="M101" s="42"/>
      <c r="N101" s="42"/>
    </row>
    <row r="102" spans="1:14" ht="14.4" x14ac:dyDescent="0.3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</row>
    <row r="103" spans="1:14" ht="14.4" x14ac:dyDescent="0.3">
      <c r="A103" s="36"/>
      <c r="B103" s="36"/>
    </row>
    <row r="104" spans="1:14" ht="14.4" x14ac:dyDescent="0.3">
      <c r="A104" s="36"/>
      <c r="B104" s="36"/>
    </row>
    <row r="105" spans="1:14" ht="14.4" x14ac:dyDescent="0.3">
      <c r="A105" s="36"/>
      <c r="B105" s="36"/>
    </row>
    <row r="106" spans="1:14" ht="14.4" x14ac:dyDescent="0.3">
      <c r="A106" s="36"/>
      <c r="B106" s="36"/>
    </row>
  </sheetData>
  <printOptions horizontalCentered="1"/>
  <pageMargins left="0.5" right="0.5" top="0.25" bottom="0.25" header="0.5" footer="0.25"/>
  <pageSetup scale="68" fitToHeight="2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XFD1048576"/>
    </sheetView>
  </sheetViews>
  <sheetFormatPr defaultColWidth="9.109375" defaultRowHeight="13.8" x14ac:dyDescent="0.25"/>
  <cols>
    <col min="1" max="1" width="54.88671875" style="37" customWidth="1"/>
    <col min="2" max="2" width="8.109375" style="37" bestFit="1" customWidth="1"/>
    <col min="3" max="3" width="16.88671875" style="37" bestFit="1" customWidth="1"/>
    <col min="4" max="4" width="17.6640625" style="37" bestFit="1" customWidth="1"/>
    <col min="5" max="5" width="14.6640625" style="37" bestFit="1" customWidth="1"/>
    <col min="6" max="6" width="15.88671875" style="37" bestFit="1" customWidth="1"/>
    <col min="7" max="7" width="16.88671875" style="37" bestFit="1" customWidth="1"/>
    <col min="8" max="9" width="12.6640625" style="37" customWidth="1"/>
    <col min="10" max="16384" width="9.109375" style="37"/>
  </cols>
  <sheetData>
    <row r="1" spans="1:8" ht="17.399999999999999" x14ac:dyDescent="0.3">
      <c r="A1" s="56" t="s">
        <v>351</v>
      </c>
    </row>
    <row r="2" spans="1:8" ht="17.399999999999999" x14ac:dyDescent="0.3">
      <c r="A2" s="56" t="s">
        <v>0</v>
      </c>
    </row>
    <row r="3" spans="1:8" ht="17.399999999999999" x14ac:dyDescent="0.3">
      <c r="A3" s="56"/>
    </row>
    <row r="4" spans="1:8" ht="41.4" x14ac:dyDescent="0.25">
      <c r="A4" s="57" t="s">
        <v>30</v>
      </c>
      <c r="B4" s="57" t="s">
        <v>357</v>
      </c>
      <c r="C4" s="57" t="s">
        <v>352</v>
      </c>
      <c r="D4" s="57" t="s">
        <v>353</v>
      </c>
      <c r="E4" s="57" t="s">
        <v>354</v>
      </c>
      <c r="F4" s="57" t="s">
        <v>355</v>
      </c>
      <c r="G4" s="57" t="s">
        <v>356</v>
      </c>
      <c r="H4" s="58"/>
    </row>
    <row r="6" spans="1:8" x14ac:dyDescent="0.25">
      <c r="A6" s="23" t="s">
        <v>391</v>
      </c>
      <c r="B6" s="38" t="s">
        <v>358</v>
      </c>
      <c r="C6" s="29">
        <f>+'Prod 12-2018'!G85</f>
        <v>4025624722.9799995</v>
      </c>
      <c r="D6" s="29">
        <f>-'Prod 12-2018'!I85</f>
        <v>-1929700948.2488337</v>
      </c>
      <c r="F6" s="29">
        <f>-'DFIT 2018'!O100</f>
        <v>-527391892.46863478</v>
      </c>
      <c r="G6" s="29">
        <f t="shared" ref="G6:G13" si="0">SUM(C6:F6)</f>
        <v>1568531882.262531</v>
      </c>
    </row>
    <row r="7" spans="1:8" x14ac:dyDescent="0.25">
      <c r="A7" s="280" t="s">
        <v>361</v>
      </c>
      <c r="B7" s="38" t="s">
        <v>358</v>
      </c>
      <c r="C7" s="28">
        <f>+'Colstrip FERC'!B285</f>
        <v>1932943.3899999154</v>
      </c>
      <c r="G7" s="28">
        <f t="shared" si="0"/>
        <v>1932943.3899999154</v>
      </c>
    </row>
    <row r="8" spans="1:8" x14ac:dyDescent="0.25">
      <c r="A8" s="281" t="s">
        <v>374</v>
      </c>
      <c r="B8" s="38" t="s">
        <v>358</v>
      </c>
      <c r="C8" s="28">
        <f>+'Acq Adj'!H52</f>
        <v>572066.59950000001</v>
      </c>
      <c r="G8" s="28">
        <f t="shared" si="0"/>
        <v>572066.59950000001</v>
      </c>
    </row>
    <row r="9" spans="1:8" x14ac:dyDescent="0.25">
      <c r="A9" s="281" t="s">
        <v>149</v>
      </c>
      <c r="B9" s="38" t="s">
        <v>358</v>
      </c>
      <c r="C9" s="28">
        <f>+'Acq Adj'!F17</f>
        <v>281543144.61000001</v>
      </c>
      <c r="D9" s="28"/>
      <c r="E9" s="28">
        <f>'Acq Adj'!F34</f>
        <v>-136832371.41000003</v>
      </c>
      <c r="F9" s="28"/>
      <c r="G9" s="28">
        <f t="shared" si="0"/>
        <v>144710773.19999999</v>
      </c>
    </row>
    <row r="10" spans="1:8" x14ac:dyDescent="0.25">
      <c r="A10" s="281" t="s">
        <v>396</v>
      </c>
      <c r="B10" s="38" t="s">
        <v>359</v>
      </c>
      <c r="C10" s="28"/>
      <c r="D10" s="28">
        <v>-98652.304809974506</v>
      </c>
      <c r="E10" s="28"/>
      <c r="F10" s="28">
        <f>-D10*0.21</f>
        <v>20716.984010094646</v>
      </c>
      <c r="G10" s="28">
        <f t="shared" si="0"/>
        <v>-77935.320799879861</v>
      </c>
    </row>
    <row r="11" spans="1:8" x14ac:dyDescent="0.25">
      <c r="A11" s="37" t="s">
        <v>363</v>
      </c>
      <c r="B11" s="38" t="s">
        <v>359</v>
      </c>
      <c r="C11" s="28">
        <v>-4539000</v>
      </c>
      <c r="D11" s="28">
        <v>2120000</v>
      </c>
      <c r="E11" s="28"/>
      <c r="F11" s="28">
        <v>803628.57</v>
      </c>
      <c r="G11" s="28">
        <f t="shared" si="0"/>
        <v>-1615371.4300000002</v>
      </c>
    </row>
    <row r="12" spans="1:8" x14ac:dyDescent="0.25">
      <c r="A12" s="37" t="s">
        <v>360</v>
      </c>
      <c r="B12" s="38" t="s">
        <v>359</v>
      </c>
      <c r="C12" s="28">
        <v>-16990239.199999999</v>
      </c>
      <c r="D12" s="28">
        <v>12688074.934416663</v>
      </c>
      <c r="E12" s="28"/>
      <c r="F12" s="28">
        <v>980694.34861275041</v>
      </c>
      <c r="G12" s="28">
        <f t="shared" si="0"/>
        <v>-3321469.9169705859</v>
      </c>
    </row>
    <row r="13" spans="1:8" x14ac:dyDescent="0.25">
      <c r="A13" s="37" t="s">
        <v>464</v>
      </c>
      <c r="B13" s="38" t="s">
        <v>359</v>
      </c>
      <c r="C13" s="28">
        <v>0</v>
      </c>
      <c r="D13" s="28">
        <v>-16445383.11765343</v>
      </c>
      <c r="E13" s="28"/>
      <c r="F13" s="28">
        <v>3453530.4547072193</v>
      </c>
      <c r="G13" s="28">
        <f t="shared" si="0"/>
        <v>-12991852.662946209</v>
      </c>
    </row>
    <row r="14" spans="1:8" ht="14.4" thickBot="1" x14ac:dyDescent="0.3">
      <c r="A14" s="37" t="s">
        <v>362</v>
      </c>
      <c r="B14" s="39"/>
      <c r="C14" s="40">
        <f>SUM(C6:C13)</f>
        <v>4288143638.3794994</v>
      </c>
      <c r="D14" s="40">
        <f t="shared" ref="D14:G14" si="1">SUM(D6:D13)</f>
        <v>-1931436908.7368803</v>
      </c>
      <c r="E14" s="40">
        <f t="shared" si="1"/>
        <v>-136832371.41000003</v>
      </c>
      <c r="F14" s="40">
        <f t="shared" si="1"/>
        <v>-522133322.11130476</v>
      </c>
      <c r="G14" s="40">
        <f t="shared" si="1"/>
        <v>1697741036.1213143</v>
      </c>
    </row>
    <row r="15" spans="1:8" ht="14.4" thickTop="1" x14ac:dyDescent="0.25">
      <c r="B15" s="39"/>
      <c r="C15" s="28"/>
      <c r="D15" s="28"/>
      <c r="E15" s="28"/>
      <c r="F15" s="28"/>
      <c r="G15" s="28"/>
    </row>
    <row r="16" spans="1:8" x14ac:dyDescent="0.25">
      <c r="B16" s="39"/>
      <c r="C16" s="28"/>
      <c r="D16" s="28"/>
      <c r="E16" s="28"/>
      <c r="F16" s="28"/>
      <c r="G16" s="28"/>
    </row>
    <row r="17" spans="2:7" x14ac:dyDescent="0.25">
      <c r="B17" s="39"/>
      <c r="C17" s="28"/>
      <c r="D17" s="28"/>
      <c r="E17" s="28"/>
      <c r="F17" s="28"/>
      <c r="G17" s="28"/>
    </row>
    <row r="18" spans="2:7" x14ac:dyDescent="0.25">
      <c r="B18" s="39"/>
      <c r="C18" s="28"/>
      <c r="D18" s="28"/>
      <c r="E18" s="28"/>
      <c r="F18" s="28"/>
      <c r="G18" s="28"/>
    </row>
    <row r="19" spans="2:7" x14ac:dyDescent="0.25">
      <c r="B19" s="39"/>
      <c r="C19" s="28"/>
      <c r="D19" s="28"/>
      <c r="E19" s="28"/>
      <c r="F19" s="28"/>
      <c r="G19" s="28"/>
    </row>
    <row r="20" spans="2:7" x14ac:dyDescent="0.25">
      <c r="B20" s="39"/>
      <c r="C20" s="28"/>
      <c r="D20" s="28"/>
      <c r="E20" s="28"/>
      <c r="F20" s="28"/>
      <c r="G20" s="28"/>
    </row>
    <row r="21" spans="2:7" x14ac:dyDescent="0.25">
      <c r="B21" s="39"/>
      <c r="C21" s="28"/>
      <c r="D21" s="28"/>
      <c r="E21" s="28"/>
      <c r="F21" s="28"/>
      <c r="G21" s="28"/>
    </row>
    <row r="22" spans="2:7" x14ac:dyDescent="0.25">
      <c r="B22" s="39"/>
      <c r="C22" s="28"/>
      <c r="D22" s="28"/>
      <c r="E22" s="28"/>
      <c r="F22" s="28"/>
      <c r="G22" s="28"/>
    </row>
    <row r="23" spans="2:7" x14ac:dyDescent="0.25">
      <c r="B23" s="39"/>
      <c r="C23" s="28"/>
      <c r="D23" s="28"/>
      <c r="E23" s="28"/>
      <c r="F23" s="28"/>
      <c r="G23" s="28"/>
    </row>
    <row r="24" spans="2:7" x14ac:dyDescent="0.25">
      <c r="B24" s="39"/>
      <c r="C24" s="28"/>
      <c r="D24" s="28"/>
      <c r="E24" s="28"/>
      <c r="F24" s="28"/>
      <c r="G24" s="28"/>
    </row>
    <row r="25" spans="2:7" x14ac:dyDescent="0.25">
      <c r="B25" s="39"/>
      <c r="C25" s="28"/>
      <c r="D25" s="28"/>
      <c r="E25" s="28"/>
      <c r="F25" s="28"/>
      <c r="G25" s="28"/>
    </row>
    <row r="26" spans="2:7" x14ac:dyDescent="0.25">
      <c r="B26" s="39"/>
    </row>
    <row r="27" spans="2:7" x14ac:dyDescent="0.25">
      <c r="B27" s="39"/>
    </row>
    <row r="28" spans="2:7" x14ac:dyDescent="0.25">
      <c r="B28" s="3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3"/>
  <sheetViews>
    <sheetView zoomScaleNormal="100" workbookViewId="0">
      <pane ySplit="7" topLeftCell="A8" activePane="bottomLeft" state="frozen"/>
      <selection sqref="A1:XFD1048576"/>
      <selection pane="bottomLeft" sqref="A1:XFD1048576"/>
    </sheetView>
  </sheetViews>
  <sheetFormatPr defaultColWidth="9.109375" defaultRowHeight="13.2" outlineLevelCol="1" x14ac:dyDescent="0.25"/>
  <cols>
    <col min="1" max="1" width="33.5546875" style="70" customWidth="1"/>
    <col min="2" max="2" width="50.88671875" style="70" bestFit="1" customWidth="1"/>
    <col min="3" max="3" width="19.33203125" style="70" hidden="1" customWidth="1" outlineLevel="1"/>
    <col min="4" max="4" width="17.33203125" style="70" hidden="1" customWidth="1" outlineLevel="1"/>
    <col min="5" max="5" width="19.33203125" style="70" hidden="1" customWidth="1" outlineLevel="1"/>
    <col min="6" max="6" width="2.109375" style="70" hidden="1" customWidth="1" outlineLevel="1"/>
    <col min="7" max="7" width="15.33203125" style="70" bestFit="1" customWidth="1" collapsed="1"/>
    <col min="8" max="8" width="13.5546875" style="70" bestFit="1" customWidth="1"/>
    <col min="9" max="9" width="18.6640625" style="70" bestFit="1" customWidth="1"/>
    <col min="10" max="11" width="10.88671875" style="70" bestFit="1" customWidth="1"/>
    <col min="12" max="16384" width="9.109375" style="70"/>
  </cols>
  <sheetData>
    <row r="1" spans="1:11" x14ac:dyDescent="0.25">
      <c r="A1" s="250" t="s">
        <v>148</v>
      </c>
      <c r="B1" s="251"/>
      <c r="C1" s="251"/>
      <c r="D1" s="251"/>
      <c r="E1" s="251"/>
    </row>
    <row r="2" spans="1:11" x14ac:dyDescent="0.25">
      <c r="A2" s="250" t="s">
        <v>147</v>
      </c>
      <c r="B2" s="251"/>
      <c r="C2" s="251"/>
      <c r="D2" s="251"/>
      <c r="E2" s="251"/>
    </row>
    <row r="3" spans="1:11" x14ac:dyDescent="0.25">
      <c r="A3" s="250" t="s">
        <v>146</v>
      </c>
      <c r="B3" s="251"/>
      <c r="C3" s="251"/>
      <c r="D3" s="251"/>
      <c r="E3" s="251"/>
    </row>
    <row r="4" spans="1:11" x14ac:dyDescent="0.25">
      <c r="A4" s="252"/>
      <c r="B4" s="252"/>
      <c r="C4" s="252"/>
      <c r="D4" s="252"/>
      <c r="E4" s="252"/>
    </row>
    <row r="5" spans="1:11" x14ac:dyDescent="0.25">
      <c r="A5" s="253" t="s">
        <v>145</v>
      </c>
      <c r="B5" s="254"/>
      <c r="C5" s="254"/>
      <c r="D5" s="254"/>
      <c r="E5" s="254"/>
    </row>
    <row r="6" spans="1:11" x14ac:dyDescent="0.25">
      <c r="A6" s="252"/>
      <c r="B6" s="252"/>
      <c r="C6" s="252"/>
      <c r="D6" s="252"/>
      <c r="E6" s="252"/>
    </row>
    <row r="7" spans="1:11" ht="52.8" x14ac:dyDescent="0.25">
      <c r="A7" s="255" t="s">
        <v>144</v>
      </c>
      <c r="B7" s="255" t="s">
        <v>30</v>
      </c>
      <c r="C7" s="256" t="s">
        <v>143</v>
      </c>
      <c r="D7" s="257" t="s">
        <v>141</v>
      </c>
      <c r="E7" s="257" t="s">
        <v>142</v>
      </c>
      <c r="G7" s="256" t="s">
        <v>465</v>
      </c>
      <c r="H7" s="257" t="s">
        <v>141</v>
      </c>
      <c r="I7" s="257" t="s">
        <v>466</v>
      </c>
    </row>
    <row r="8" spans="1:11" x14ac:dyDescent="0.25">
      <c r="A8" s="252"/>
      <c r="B8" s="252"/>
      <c r="C8" s="252"/>
      <c r="D8" s="252"/>
      <c r="E8" s="252"/>
    </row>
    <row r="9" spans="1:11" x14ac:dyDescent="0.25">
      <c r="A9" s="258" t="s">
        <v>140</v>
      </c>
      <c r="B9" s="252"/>
      <c r="C9" s="252"/>
      <c r="D9" s="259"/>
      <c r="E9" s="252"/>
    </row>
    <row r="10" spans="1:11" x14ac:dyDescent="0.25">
      <c r="A10" s="260" t="s">
        <v>139</v>
      </c>
      <c r="B10" s="261" t="s">
        <v>116</v>
      </c>
      <c r="C10" s="223">
        <v>177711003</v>
      </c>
      <c r="D10" s="223">
        <v>717584.60000000009</v>
      </c>
      <c r="E10" s="223">
        <v>134719547</v>
      </c>
      <c r="G10" s="223">
        <v>178794231.20999998</v>
      </c>
      <c r="H10" s="223">
        <v>717584.60000000009</v>
      </c>
      <c r="I10" s="223">
        <v>133991097.06000002</v>
      </c>
      <c r="J10" s="262"/>
      <c r="K10" s="121"/>
    </row>
    <row r="11" spans="1:11" x14ac:dyDescent="0.25">
      <c r="A11" s="260" t="s">
        <v>138</v>
      </c>
      <c r="B11" s="261" t="s">
        <v>137</v>
      </c>
      <c r="C11" s="223">
        <v>712757862</v>
      </c>
      <c r="D11" s="223">
        <v>28693271.220000003</v>
      </c>
      <c r="E11" s="223">
        <v>433974288</v>
      </c>
      <c r="G11" s="223">
        <v>712518518.32000005</v>
      </c>
      <c r="H11" s="223">
        <v>28693271.220000003</v>
      </c>
      <c r="I11" s="223">
        <v>444771893.67000008</v>
      </c>
      <c r="J11" s="262"/>
      <c r="K11" s="121"/>
    </row>
    <row r="12" spans="1:11" x14ac:dyDescent="0.25">
      <c r="A12" s="260" t="s">
        <v>136</v>
      </c>
      <c r="B12" s="261" t="s">
        <v>135</v>
      </c>
      <c r="C12" s="223">
        <v>341092898</v>
      </c>
      <c r="D12" s="223">
        <v>13229385.520000001</v>
      </c>
      <c r="E12" s="223">
        <v>195384650</v>
      </c>
      <c r="G12" s="223">
        <v>345233069.43999994</v>
      </c>
      <c r="H12" s="223">
        <v>13229385.520000001</v>
      </c>
      <c r="I12" s="223">
        <v>200847370.91000003</v>
      </c>
      <c r="J12" s="262"/>
      <c r="K12" s="121"/>
    </row>
    <row r="13" spans="1:11" x14ac:dyDescent="0.25">
      <c r="A13" s="260" t="s">
        <v>134</v>
      </c>
      <c r="B13" s="261" t="s">
        <v>111</v>
      </c>
      <c r="C13" s="223">
        <v>49407222</v>
      </c>
      <c r="D13" s="223">
        <v>1778484.3200000003</v>
      </c>
      <c r="E13" s="223">
        <v>31520708</v>
      </c>
      <c r="G13" s="223">
        <v>49453733.300000004</v>
      </c>
      <c r="H13" s="223">
        <v>1778484.3200000003</v>
      </c>
      <c r="I13" s="223">
        <v>32241404.779999994</v>
      </c>
      <c r="J13" s="262"/>
      <c r="K13" s="121"/>
    </row>
    <row r="14" spans="1:11" x14ac:dyDescent="0.25">
      <c r="A14" s="260" t="s">
        <v>133</v>
      </c>
      <c r="B14" s="261" t="s">
        <v>123</v>
      </c>
      <c r="C14" s="223">
        <v>15899790</v>
      </c>
      <c r="D14" s="223">
        <v>696853.3600000001</v>
      </c>
      <c r="E14" s="223">
        <v>10953867</v>
      </c>
      <c r="G14" s="223">
        <v>15898578.09</v>
      </c>
      <c r="H14" s="223">
        <v>696853.3600000001</v>
      </c>
      <c r="I14" s="223">
        <v>11293895.15</v>
      </c>
      <c r="J14" s="262"/>
      <c r="K14" s="121"/>
    </row>
    <row r="15" spans="1:11" x14ac:dyDescent="0.25">
      <c r="A15" s="260" t="s">
        <v>132</v>
      </c>
      <c r="B15" s="261" t="s">
        <v>107</v>
      </c>
      <c r="C15" s="223">
        <v>99639639</v>
      </c>
      <c r="D15" s="223">
        <v>15867204.690000001</v>
      </c>
      <c r="E15" s="223">
        <v>16023159</v>
      </c>
      <c r="G15" s="223">
        <v>90820080.510000005</v>
      </c>
      <c r="H15" s="223">
        <v>15867204.690000001</v>
      </c>
      <c r="I15" s="223">
        <v>23713498.690000001</v>
      </c>
      <c r="J15" s="262"/>
      <c r="K15" s="121"/>
    </row>
    <row r="16" spans="1:11" x14ac:dyDescent="0.25">
      <c r="A16" s="263"/>
      <c r="B16" s="264" t="s">
        <v>131</v>
      </c>
      <c r="C16" s="229">
        <f>SUM(C10:C15)</f>
        <v>1396508414</v>
      </c>
      <c r="D16" s="229">
        <f>SUM(D10:D15)</f>
        <v>60982783.710000008</v>
      </c>
      <c r="E16" s="229">
        <f>SUM(E10:E15)</f>
        <v>822576219</v>
      </c>
      <c r="G16" s="229">
        <f>SUM(G10:G15)</f>
        <v>1392718210.8699996</v>
      </c>
      <c r="H16" s="229">
        <f>SUM(H10:H15)</f>
        <v>60982783.710000008</v>
      </c>
      <c r="I16" s="229">
        <f>SUM(I10:I15)</f>
        <v>846859160.26000011</v>
      </c>
      <c r="J16" s="262"/>
      <c r="K16" s="121"/>
    </row>
    <row r="17" spans="1:9" x14ac:dyDescent="0.25">
      <c r="A17" s="260"/>
      <c r="B17" s="261"/>
      <c r="C17" s="223">
        <v>0</v>
      </c>
      <c r="D17" s="223">
        <v>0</v>
      </c>
      <c r="E17" s="223">
        <v>0</v>
      </c>
    </row>
    <row r="18" spans="1:9" x14ac:dyDescent="0.25">
      <c r="A18" s="260" t="s">
        <v>130</v>
      </c>
      <c r="B18" s="261" t="s">
        <v>68</v>
      </c>
      <c r="C18" s="223">
        <v>167061476</v>
      </c>
      <c r="D18" s="223">
        <v>4960778.62</v>
      </c>
      <c r="E18" s="223">
        <v>32191669</v>
      </c>
      <c r="G18" s="223">
        <v>166252368.95999998</v>
      </c>
      <c r="H18" s="223">
        <v>4960778.62</v>
      </c>
      <c r="I18" s="223">
        <v>34669508.179999992</v>
      </c>
    </row>
    <row r="19" spans="1:9" x14ac:dyDescent="0.25">
      <c r="A19" s="260" t="s">
        <v>129</v>
      </c>
      <c r="B19" s="261" t="s">
        <v>128</v>
      </c>
      <c r="C19" s="223">
        <v>351850241</v>
      </c>
      <c r="D19" s="223">
        <v>8702682.6400000006</v>
      </c>
      <c r="E19" s="223">
        <v>103006360</v>
      </c>
      <c r="G19" s="223">
        <v>358984697.12</v>
      </c>
      <c r="H19" s="223">
        <v>8702682.6400000006</v>
      </c>
      <c r="I19" s="223">
        <v>107333079.68000001</v>
      </c>
    </row>
    <row r="20" spans="1:9" x14ac:dyDescent="0.25">
      <c r="A20" s="260" t="s">
        <v>127</v>
      </c>
      <c r="B20" s="261" t="s">
        <v>126</v>
      </c>
      <c r="C20" s="223">
        <v>128339882</v>
      </c>
      <c r="D20" s="223">
        <v>3564475.91</v>
      </c>
      <c r="E20" s="223">
        <v>26185568</v>
      </c>
      <c r="G20" s="223">
        <v>130239358.37</v>
      </c>
      <c r="H20" s="223">
        <v>3564475.91</v>
      </c>
      <c r="I20" s="223">
        <v>27730536.369999997</v>
      </c>
    </row>
    <row r="21" spans="1:9" x14ac:dyDescent="0.25">
      <c r="A21" s="260" t="s">
        <v>125</v>
      </c>
      <c r="B21" s="261" t="s">
        <v>111</v>
      </c>
      <c r="C21" s="223">
        <v>45906707</v>
      </c>
      <c r="D21" s="223">
        <v>1344450.3399999999</v>
      </c>
      <c r="E21" s="223">
        <v>8156351</v>
      </c>
      <c r="G21" s="223">
        <v>45906968.109999999</v>
      </c>
      <c r="H21" s="223">
        <v>1344450.3399999999</v>
      </c>
      <c r="I21" s="223">
        <v>8828577.0500000007</v>
      </c>
    </row>
    <row r="22" spans="1:9" x14ac:dyDescent="0.25">
      <c r="A22" s="260" t="s">
        <v>124</v>
      </c>
      <c r="B22" s="261" t="s">
        <v>123</v>
      </c>
      <c r="C22" s="223">
        <v>15855290</v>
      </c>
      <c r="D22" s="223">
        <v>474573.41</v>
      </c>
      <c r="E22" s="223">
        <v>3921179</v>
      </c>
      <c r="G22" s="223">
        <v>16076507.379999999</v>
      </c>
      <c r="H22" s="223">
        <v>474573.41</v>
      </c>
      <c r="I22" s="223">
        <v>4160487.35</v>
      </c>
    </row>
    <row r="23" spans="1:9" x14ac:dyDescent="0.25">
      <c r="A23" s="260" t="s">
        <v>122</v>
      </c>
      <c r="B23" s="261" t="s">
        <v>121</v>
      </c>
      <c r="C23" s="223">
        <v>5045059</v>
      </c>
      <c r="D23" s="223">
        <v>130859.65</v>
      </c>
      <c r="E23" s="223">
        <v>651050</v>
      </c>
      <c r="G23" s="223">
        <v>5045062.6500000004</v>
      </c>
      <c r="H23" s="223">
        <v>130859.65</v>
      </c>
      <c r="I23" s="223">
        <v>716480.1100000001</v>
      </c>
    </row>
    <row r="24" spans="1:9" x14ac:dyDescent="0.25">
      <c r="A24" s="260" t="s">
        <v>120</v>
      </c>
      <c r="B24" s="261" t="s">
        <v>107</v>
      </c>
      <c r="C24" s="223">
        <v>0</v>
      </c>
      <c r="D24" s="223"/>
      <c r="E24" s="223"/>
      <c r="G24" s="223">
        <v>0</v>
      </c>
      <c r="H24" s="223"/>
      <c r="I24" s="223"/>
    </row>
    <row r="25" spans="1:9" x14ac:dyDescent="0.25">
      <c r="A25" s="260" t="s">
        <v>119</v>
      </c>
      <c r="B25" s="261" t="s">
        <v>103</v>
      </c>
      <c r="C25" s="223">
        <v>32899</v>
      </c>
      <c r="D25" s="223">
        <v>657.96</v>
      </c>
      <c r="E25" s="223">
        <v>12713</v>
      </c>
      <c r="G25" s="223">
        <v>32898.730000000003</v>
      </c>
      <c r="H25" s="223">
        <v>657.96</v>
      </c>
      <c r="I25" s="223">
        <v>13042.1</v>
      </c>
    </row>
    <row r="26" spans="1:9" x14ac:dyDescent="0.25">
      <c r="A26" s="263"/>
      <c r="B26" s="264" t="s">
        <v>118</v>
      </c>
      <c r="C26" s="229">
        <f>SUM(C18:C25)</f>
        <v>714091554</v>
      </c>
      <c r="D26" s="229">
        <f>SUM(D18:D25)</f>
        <v>19178478.530000001</v>
      </c>
      <c r="E26" s="229">
        <f>SUM(E18:E25)</f>
        <v>174124890</v>
      </c>
      <c r="G26" s="229">
        <f>SUM(G18:G25)</f>
        <v>722537861.32000005</v>
      </c>
      <c r="H26" s="229">
        <f>SUM(H18:H25)</f>
        <v>19178478.530000001</v>
      </c>
      <c r="I26" s="229">
        <f>SUM(I18:I25)</f>
        <v>183451710.84000003</v>
      </c>
    </row>
    <row r="27" spans="1:9" x14ac:dyDescent="0.25">
      <c r="A27" s="260"/>
      <c r="B27" s="261"/>
      <c r="C27" s="223">
        <v>0</v>
      </c>
      <c r="D27" s="223">
        <v>0</v>
      </c>
      <c r="E27" s="223">
        <v>0</v>
      </c>
    </row>
    <row r="28" spans="1:9" x14ac:dyDescent="0.25">
      <c r="A28" s="260" t="s">
        <v>117</v>
      </c>
      <c r="B28" s="261" t="s">
        <v>116</v>
      </c>
      <c r="C28" s="223">
        <v>130762674</v>
      </c>
      <c r="D28" s="223">
        <v>3712927.6999999997</v>
      </c>
      <c r="E28" s="223">
        <v>65184828</v>
      </c>
      <c r="G28" s="223">
        <v>131543499.13000001</v>
      </c>
      <c r="H28" s="223">
        <v>3712927.6999999997</v>
      </c>
      <c r="I28" s="223">
        <v>67042833.200000003</v>
      </c>
    </row>
    <row r="29" spans="1:9" x14ac:dyDescent="0.25">
      <c r="A29" s="260" t="s">
        <v>115</v>
      </c>
      <c r="B29" s="261" t="s">
        <v>114</v>
      </c>
      <c r="C29" s="223">
        <v>25642467</v>
      </c>
      <c r="D29" s="223">
        <v>462833.9</v>
      </c>
      <c r="E29" s="223">
        <v>20415324</v>
      </c>
      <c r="G29" s="223">
        <v>25859528.34</v>
      </c>
      <c r="H29" s="223">
        <v>462833.9</v>
      </c>
      <c r="I29" s="223">
        <v>20646806.07</v>
      </c>
    </row>
    <row r="30" spans="1:9" x14ac:dyDescent="0.25">
      <c r="A30" s="260" t="s">
        <v>113</v>
      </c>
      <c r="B30" s="261" t="s">
        <v>66</v>
      </c>
      <c r="C30" s="223">
        <v>1567733144.9300001</v>
      </c>
      <c r="D30" s="223">
        <v>63775266.789999999</v>
      </c>
      <c r="E30" s="223">
        <v>592102779</v>
      </c>
      <c r="G30" s="223">
        <v>1575652687.7000003</v>
      </c>
      <c r="H30" s="223">
        <v>63775266.789999999</v>
      </c>
      <c r="I30" s="223">
        <v>619253508.82000005</v>
      </c>
    </row>
    <row r="31" spans="1:9" x14ac:dyDescent="0.25">
      <c r="A31" s="260" t="s">
        <v>112</v>
      </c>
      <c r="B31" s="261" t="s">
        <v>111</v>
      </c>
      <c r="C31" s="223">
        <v>152650489</v>
      </c>
      <c r="D31" s="223">
        <v>6116498.3600000013</v>
      </c>
      <c r="E31" s="223">
        <v>63189199</v>
      </c>
      <c r="G31" s="223">
        <v>153219160.30000001</v>
      </c>
      <c r="H31" s="223">
        <v>6116498.3600000013</v>
      </c>
      <c r="I31" s="223">
        <v>65737557.980000012</v>
      </c>
    </row>
    <row r="32" spans="1:9" x14ac:dyDescent="0.25">
      <c r="A32" s="260" t="s">
        <v>110</v>
      </c>
      <c r="B32" s="261" t="s">
        <v>109</v>
      </c>
      <c r="C32" s="223">
        <v>15075434</v>
      </c>
      <c r="D32" s="223">
        <v>737134.71</v>
      </c>
      <c r="E32" s="223">
        <v>7134059</v>
      </c>
      <c r="G32" s="223">
        <v>15569058.129999999</v>
      </c>
      <c r="H32" s="223">
        <v>737134.71</v>
      </c>
      <c r="I32" s="223">
        <v>7508949.2400000002</v>
      </c>
    </row>
    <row r="33" spans="1:9" x14ac:dyDescent="0.25">
      <c r="A33" s="260" t="s">
        <v>108</v>
      </c>
      <c r="B33" s="261" t="s">
        <v>107</v>
      </c>
      <c r="C33" s="223">
        <v>53674342</v>
      </c>
      <c r="D33" s="223">
        <v>3225081.78</v>
      </c>
      <c r="E33" s="223">
        <v>8406328</v>
      </c>
      <c r="G33" s="223">
        <v>53575909.109999999</v>
      </c>
      <c r="H33" s="223">
        <v>3225081.78</v>
      </c>
      <c r="I33" s="223">
        <v>10016128.15</v>
      </c>
    </row>
    <row r="34" spans="1:9" x14ac:dyDescent="0.25">
      <c r="A34" s="260" t="s">
        <v>106</v>
      </c>
      <c r="B34" s="261" t="s">
        <v>105</v>
      </c>
      <c r="C34" s="223">
        <v>4993664</v>
      </c>
      <c r="D34" s="223">
        <v>249439.12</v>
      </c>
      <c r="E34" s="223">
        <v>520885</v>
      </c>
      <c r="G34" s="223">
        <v>5025581.3</v>
      </c>
      <c r="H34" s="223">
        <v>249439.12</v>
      </c>
      <c r="I34" s="223">
        <v>646366.87</v>
      </c>
    </row>
    <row r="35" spans="1:9" x14ac:dyDescent="0.25">
      <c r="A35" s="260" t="s">
        <v>104</v>
      </c>
      <c r="B35" s="261" t="s">
        <v>103</v>
      </c>
      <c r="C35" s="223">
        <v>221929</v>
      </c>
      <c r="D35" s="223">
        <v>2596.56</v>
      </c>
      <c r="E35" s="223">
        <v>209115</v>
      </c>
      <c r="G35" s="223">
        <v>221928.75</v>
      </c>
      <c r="H35" s="223">
        <v>2596.56</v>
      </c>
      <c r="I35" s="223">
        <v>210412.98</v>
      </c>
    </row>
    <row r="36" spans="1:9" x14ac:dyDescent="0.25">
      <c r="A36" s="263"/>
      <c r="B36" s="264" t="s">
        <v>102</v>
      </c>
      <c r="C36" s="229">
        <f>SUM(C28:C35)</f>
        <v>1950754143.9300001</v>
      </c>
      <c r="D36" s="229">
        <f>SUM(D28:D35)</f>
        <v>78281778.920000002</v>
      </c>
      <c r="E36" s="229">
        <f>SUM(E28:E35)</f>
        <v>757162517</v>
      </c>
      <c r="G36" s="229">
        <f>SUM(G28:G35)</f>
        <v>1960667352.7600002</v>
      </c>
      <c r="H36" s="229">
        <f>SUM(H28:H35)</f>
        <v>78281778.920000002</v>
      </c>
      <c r="I36" s="229">
        <f>SUM(I28:I35)</f>
        <v>791062563.31000006</v>
      </c>
    </row>
    <row r="37" spans="1:9" x14ac:dyDescent="0.25">
      <c r="A37" s="263"/>
      <c r="B37" s="264"/>
      <c r="C37" s="94"/>
      <c r="D37" s="94"/>
      <c r="E37" s="94"/>
      <c r="G37" s="94"/>
      <c r="H37" s="94"/>
      <c r="I37" s="94"/>
    </row>
    <row r="38" spans="1:9" x14ac:dyDescent="0.25">
      <c r="A38" s="258" t="s">
        <v>101</v>
      </c>
      <c r="B38" s="252"/>
      <c r="C38" s="94"/>
      <c r="D38" s="94"/>
      <c r="E38" s="94"/>
      <c r="G38" s="94"/>
      <c r="H38" s="94"/>
      <c r="I38" s="94"/>
    </row>
    <row r="39" spans="1:9" x14ac:dyDescent="0.25">
      <c r="A39" s="265">
        <v>22840341</v>
      </c>
      <c r="B39" s="252" t="s">
        <v>100</v>
      </c>
      <c r="C39" s="94">
        <f>'Baker Treasury Grt'!D66</f>
        <v>-27634237</v>
      </c>
      <c r="D39" s="94">
        <f>SUM('Baker Treasury Grt'!E55:E66)</f>
        <v>-619833.35327102803</v>
      </c>
      <c r="E39" s="94">
        <f>'Baker Treasury Grt'!H66</f>
        <v>2560978.1289719627</v>
      </c>
      <c r="G39" s="94">
        <v>0</v>
      </c>
      <c r="H39" s="94">
        <f>SUM('Baker Treasury Grt'!E55:E66)</f>
        <v>-619833.35327102803</v>
      </c>
      <c r="I39" s="94">
        <v>0</v>
      </c>
    </row>
    <row r="40" spans="1:9" x14ac:dyDescent="0.25">
      <c r="A40" s="266">
        <v>22840331</v>
      </c>
      <c r="B40" s="252" t="s">
        <v>99</v>
      </c>
      <c r="C40" s="94">
        <f>'Snoq Treasury Grt '!D67</f>
        <v>-80241567</v>
      </c>
      <c r="D40" s="94">
        <f>SUM('Snoq Treasury Grt '!E56:E67)</f>
        <v>-1799810.8485981303</v>
      </c>
      <c r="E40" s="94">
        <f>'Snoq Treasury Grt '!H67</f>
        <v>7436315.2534820596</v>
      </c>
      <c r="G40" s="94">
        <v>0</v>
      </c>
      <c r="H40" s="94">
        <f>SUM('Snoq Treasury Grt '!E56:E67)</f>
        <v>-1799810.8485981303</v>
      </c>
      <c r="I40" s="94">
        <v>0</v>
      </c>
    </row>
    <row r="41" spans="1:9" x14ac:dyDescent="0.25">
      <c r="A41" s="266">
        <v>10800611</v>
      </c>
      <c r="B41" s="267" t="s">
        <v>98</v>
      </c>
      <c r="C41" s="94"/>
      <c r="D41" s="94"/>
      <c r="E41" s="94"/>
      <c r="G41" s="94"/>
      <c r="H41" s="94"/>
      <c r="I41" s="94">
        <v>95934500</v>
      </c>
    </row>
    <row r="42" spans="1:9" x14ac:dyDescent="0.25">
      <c r="A42" s="266">
        <v>10800621</v>
      </c>
      <c r="B42" s="267" t="s">
        <v>97</v>
      </c>
      <c r="C42" s="94"/>
      <c r="D42" s="94"/>
      <c r="E42" s="94"/>
      <c r="G42" s="94"/>
      <c r="H42" s="94"/>
      <c r="I42" s="94">
        <v>-11940746.970000001</v>
      </c>
    </row>
    <row r="43" spans="1:9" x14ac:dyDescent="0.25">
      <c r="A43" s="266">
        <v>10800631</v>
      </c>
      <c r="B43" s="267" t="s">
        <v>96</v>
      </c>
      <c r="C43" s="94"/>
      <c r="D43" s="94"/>
      <c r="E43" s="94"/>
      <c r="G43" s="94"/>
      <c r="H43" s="94"/>
      <c r="I43" s="94">
        <v>-2030752.94</v>
      </c>
    </row>
    <row r="44" spans="1:9" x14ac:dyDescent="0.25">
      <c r="A44" s="268" t="s">
        <v>95</v>
      </c>
      <c r="B44" s="252"/>
      <c r="C44" s="229">
        <f>SUM(C39:C40)</f>
        <v>-107875804</v>
      </c>
      <c r="D44" s="229">
        <f>SUM(D39:D40)</f>
        <v>-2419644.2018691581</v>
      </c>
      <c r="E44" s="229">
        <f>SUM(E39:E40)</f>
        <v>9997293.3824540228</v>
      </c>
      <c r="G44" s="229">
        <f>SUM(G39:G43)</f>
        <v>0</v>
      </c>
      <c r="H44" s="229">
        <f>SUM(H39:H43)</f>
        <v>-2419644.2018691581</v>
      </c>
      <c r="I44" s="229">
        <f>SUM(I39:I43)</f>
        <v>81963000.090000004</v>
      </c>
    </row>
    <row r="45" spans="1:9" x14ac:dyDescent="0.25">
      <c r="A45" s="263"/>
      <c r="B45" s="264"/>
      <c r="C45" s="94"/>
      <c r="D45" s="94"/>
      <c r="E45" s="94"/>
      <c r="G45" s="94"/>
      <c r="H45" s="94"/>
      <c r="I45" s="94"/>
    </row>
    <row r="46" spans="1:9" x14ac:dyDescent="0.25">
      <c r="A46" s="263"/>
      <c r="B46" s="264"/>
      <c r="C46" s="94"/>
      <c r="D46" s="94"/>
      <c r="E46" s="94"/>
    </row>
    <row r="47" spans="1:9" x14ac:dyDescent="0.25">
      <c r="A47" s="263"/>
      <c r="B47" s="264" t="s">
        <v>94</v>
      </c>
      <c r="C47" s="94">
        <f>C16+C26+C36+C44</f>
        <v>3953478307.9300003</v>
      </c>
      <c r="D47" s="94">
        <f>D16+D26+D36+D44</f>
        <v>156023396.95813087</v>
      </c>
      <c r="E47" s="94">
        <f>E16+E26+E36+E44</f>
        <v>1763860919.3824539</v>
      </c>
      <c r="G47" s="94">
        <f>G16+G26+G36+G44</f>
        <v>4075923424.9499998</v>
      </c>
      <c r="H47" s="94">
        <f>H16+H26+H36+H44</f>
        <v>156023396.95813087</v>
      </c>
      <c r="I47" s="94">
        <f>I16+I26+I36+I44</f>
        <v>1903336434.5000002</v>
      </c>
    </row>
    <row r="48" spans="1:9" x14ac:dyDescent="0.25">
      <c r="A48" s="258"/>
      <c r="B48" s="252"/>
      <c r="C48" s="223"/>
      <c r="D48" s="223"/>
      <c r="E48" s="223"/>
    </row>
    <row r="49" spans="1:9" x14ac:dyDescent="0.25">
      <c r="A49" s="258" t="s">
        <v>93</v>
      </c>
      <c r="B49" s="252"/>
      <c r="C49" s="223"/>
      <c r="D49" s="223"/>
      <c r="E49" s="223"/>
    </row>
    <row r="50" spans="1:9" ht="52.8" x14ac:dyDescent="0.25">
      <c r="A50" s="257" t="s">
        <v>92</v>
      </c>
      <c r="B50" s="257" t="s">
        <v>91</v>
      </c>
      <c r="C50" s="257" t="s">
        <v>90</v>
      </c>
      <c r="D50" s="257" t="s">
        <v>88</v>
      </c>
      <c r="E50" s="257" t="s">
        <v>87</v>
      </c>
      <c r="G50" s="257" t="s">
        <v>89</v>
      </c>
      <c r="H50" s="257" t="s">
        <v>88</v>
      </c>
      <c r="I50" s="257" t="s">
        <v>87</v>
      </c>
    </row>
    <row r="51" spans="1:9" x14ac:dyDescent="0.25">
      <c r="A51" s="266">
        <v>23001021</v>
      </c>
      <c r="B51" s="70" t="s">
        <v>86</v>
      </c>
      <c r="C51" s="100">
        <v>-62094237.268333316</v>
      </c>
      <c r="D51" s="223">
        <v>1963300.6400000001</v>
      </c>
      <c r="E51" s="223">
        <v>0</v>
      </c>
      <c r="G51" s="100">
        <v>-52488362.479999997</v>
      </c>
      <c r="H51" s="223">
        <v>1963300.6400000001</v>
      </c>
      <c r="I51" s="223">
        <v>0</v>
      </c>
    </row>
    <row r="52" spans="1:9" x14ac:dyDescent="0.25">
      <c r="A52" s="266">
        <v>23001031</v>
      </c>
      <c r="B52" s="70" t="s">
        <v>85</v>
      </c>
      <c r="C52" s="100">
        <v>-40818948.189583339</v>
      </c>
      <c r="D52" s="223">
        <v>1314562.7</v>
      </c>
      <c r="E52" s="223">
        <v>0</v>
      </c>
      <c r="G52" s="100">
        <v>-40212666.649999999</v>
      </c>
      <c r="H52" s="223">
        <v>1314562.7</v>
      </c>
      <c r="I52" s="223">
        <v>0</v>
      </c>
    </row>
    <row r="53" spans="1:9" x14ac:dyDescent="0.25">
      <c r="A53" s="266">
        <v>23003021</v>
      </c>
      <c r="B53" s="70" t="s">
        <v>469</v>
      </c>
      <c r="C53" s="100"/>
      <c r="D53" s="223"/>
      <c r="E53" s="223"/>
      <c r="G53" s="100">
        <v>2503045</v>
      </c>
      <c r="H53" s="223">
        <v>0</v>
      </c>
      <c r="I53" s="223">
        <v>0</v>
      </c>
    </row>
    <row r="54" spans="1:9" x14ac:dyDescent="0.25">
      <c r="A54" s="266">
        <v>23003031</v>
      </c>
      <c r="B54" s="96" t="s">
        <v>470</v>
      </c>
      <c r="C54" s="100"/>
      <c r="D54" s="223"/>
      <c r="E54" s="223"/>
      <c r="G54" s="100">
        <v>2642403</v>
      </c>
      <c r="H54" s="223">
        <v>0</v>
      </c>
      <c r="I54" s="223">
        <v>0</v>
      </c>
    </row>
    <row r="55" spans="1:9" x14ac:dyDescent="0.25">
      <c r="A55" s="266">
        <v>23001141</v>
      </c>
      <c r="B55" s="70" t="s">
        <v>84</v>
      </c>
      <c r="C55" s="100">
        <v>-583149.64</v>
      </c>
      <c r="D55" s="223">
        <v>11472.800000000001</v>
      </c>
      <c r="E55" s="223">
        <v>0</v>
      </c>
      <c r="G55" s="100">
        <v>-588904.72</v>
      </c>
      <c r="H55" s="223">
        <v>11472.800000000001</v>
      </c>
      <c r="I55" s="223">
        <v>0</v>
      </c>
    </row>
    <row r="56" spans="1:9" x14ac:dyDescent="0.25">
      <c r="A56" s="266">
        <v>23001231</v>
      </c>
      <c r="B56" s="96" t="s">
        <v>83</v>
      </c>
      <c r="C56" s="100">
        <v>-1271877.3041666665</v>
      </c>
      <c r="D56" s="223">
        <v>48762.06</v>
      </c>
      <c r="E56" s="223">
        <v>0</v>
      </c>
      <c r="G56" s="100">
        <v>-1296413.04</v>
      </c>
      <c r="H56" s="223">
        <v>48762.06</v>
      </c>
      <c r="I56" s="223">
        <v>0</v>
      </c>
    </row>
    <row r="57" spans="1:9" x14ac:dyDescent="0.25">
      <c r="A57" s="266">
        <v>23001041</v>
      </c>
      <c r="B57" s="269" t="s">
        <v>82</v>
      </c>
      <c r="C57" s="100">
        <v>-14170396.95125</v>
      </c>
      <c r="D57" s="223">
        <v>477246.59</v>
      </c>
      <c r="E57" s="223">
        <v>0</v>
      </c>
      <c r="G57" s="100">
        <v>-14410177.189999999</v>
      </c>
      <c r="H57" s="223">
        <v>477246.59</v>
      </c>
      <c r="I57" s="223">
        <v>0</v>
      </c>
    </row>
    <row r="58" spans="1:9" x14ac:dyDescent="0.25">
      <c r="A58" s="266">
        <v>23002011</v>
      </c>
      <c r="B58" s="269" t="s">
        <v>81</v>
      </c>
      <c r="C58" s="100">
        <v>-1042700.8775000001</v>
      </c>
      <c r="D58" s="223">
        <v>63411.380000000005</v>
      </c>
      <c r="E58" s="223">
        <v>0</v>
      </c>
      <c r="G58" s="100">
        <v>-1074725.69</v>
      </c>
      <c r="H58" s="223">
        <v>63411.380000000005</v>
      </c>
      <c r="I58" s="223">
        <v>0</v>
      </c>
    </row>
    <row r="59" spans="1:9" x14ac:dyDescent="0.25">
      <c r="A59" s="266">
        <v>23002041</v>
      </c>
      <c r="B59" s="269" t="s">
        <v>80</v>
      </c>
      <c r="C59" s="100">
        <v>-24143656.421250004</v>
      </c>
      <c r="D59" s="223">
        <v>819948.73</v>
      </c>
      <c r="E59" s="223">
        <v>0</v>
      </c>
      <c r="G59" s="100">
        <v>-24555618.670000002</v>
      </c>
      <c r="H59" s="223">
        <v>819948.73</v>
      </c>
      <c r="I59" s="223">
        <v>0</v>
      </c>
    </row>
    <row r="60" spans="1:9" x14ac:dyDescent="0.25">
      <c r="A60" s="266">
        <v>23001131</v>
      </c>
      <c r="B60" s="269" t="s">
        <v>79</v>
      </c>
      <c r="C60" s="100">
        <v>-19739290.263333336</v>
      </c>
      <c r="D60" s="223">
        <v>769915.52</v>
      </c>
      <c r="E60" s="223">
        <v>0</v>
      </c>
      <c r="G60" s="100">
        <v>-20126114.899999999</v>
      </c>
      <c r="H60" s="223">
        <v>769915.52</v>
      </c>
      <c r="I60" s="223">
        <v>0</v>
      </c>
    </row>
    <row r="61" spans="1:9" x14ac:dyDescent="0.25">
      <c r="A61" s="266">
        <v>23001151</v>
      </c>
      <c r="B61" s="269" t="s">
        <v>78</v>
      </c>
      <c r="C61" s="100">
        <v>-122932.47500000002</v>
      </c>
      <c r="D61" s="223">
        <v>2354.7400000000002</v>
      </c>
      <c r="E61" s="223">
        <v>0</v>
      </c>
      <c r="G61" s="100">
        <v>-124113.58</v>
      </c>
      <c r="H61" s="223">
        <v>2354.7400000000002</v>
      </c>
      <c r="I61" s="223">
        <v>0</v>
      </c>
    </row>
    <row r="62" spans="1:9" x14ac:dyDescent="0.25">
      <c r="A62" s="266"/>
      <c r="B62" s="269"/>
      <c r="C62" s="270">
        <f>SUM(C51:C61)</f>
        <v>-163987189.39041665</v>
      </c>
      <c r="D62" s="270">
        <f>SUM(D51:D61)</f>
        <v>5470975.1600000001</v>
      </c>
      <c r="E62" s="270">
        <f>SUM(E51:E61)</f>
        <v>0</v>
      </c>
      <c r="G62" s="270">
        <f>SUM(G51:G61)</f>
        <v>-149731648.92000002</v>
      </c>
      <c r="H62" s="270">
        <f>SUM(H51:H61)</f>
        <v>5470975.1600000001</v>
      </c>
      <c r="I62" s="270">
        <f>SUM(I51:I61)</f>
        <v>0</v>
      </c>
    </row>
    <row r="63" spans="1:9" x14ac:dyDescent="0.25">
      <c r="A63" s="266"/>
      <c r="B63" s="269"/>
      <c r="C63" s="94"/>
      <c r="D63" s="94"/>
      <c r="E63" s="94"/>
      <c r="G63" s="94"/>
      <c r="H63" s="94"/>
      <c r="I63" s="94"/>
    </row>
    <row r="64" spans="1:9" x14ac:dyDescent="0.25">
      <c r="A64" s="258" t="s">
        <v>77</v>
      </c>
      <c r="B64" s="252"/>
      <c r="C64" s="271">
        <f>C47+C62</f>
        <v>3789491118.5395837</v>
      </c>
      <c r="D64" s="271">
        <f>D47+D62</f>
        <v>161494372.11813086</v>
      </c>
      <c r="E64" s="271">
        <f>E47+E62</f>
        <v>1763860919.3824539</v>
      </c>
      <c r="G64" s="271">
        <f>G47+G62</f>
        <v>3926191776.0299997</v>
      </c>
      <c r="H64" s="271">
        <f>H47+H62</f>
        <v>161494372.11813086</v>
      </c>
      <c r="I64" s="271">
        <f>I47+I62</f>
        <v>1903336434.5000002</v>
      </c>
    </row>
    <row r="65" spans="1:9" x14ac:dyDescent="0.25">
      <c r="A65" s="258"/>
      <c r="B65" s="252"/>
    </row>
    <row r="66" spans="1:9" x14ac:dyDescent="0.25">
      <c r="A66" s="258" t="s">
        <v>76</v>
      </c>
      <c r="B66" s="252"/>
    </row>
    <row r="67" spans="1:9" x14ac:dyDescent="0.25">
      <c r="A67" s="260" t="s">
        <v>75</v>
      </c>
      <c r="B67" s="261" t="s">
        <v>74</v>
      </c>
      <c r="C67" s="223">
        <v>3795007</v>
      </c>
      <c r="D67" s="223"/>
      <c r="E67" s="223"/>
      <c r="G67" s="223">
        <v>3794974.7800000003</v>
      </c>
      <c r="H67" s="223"/>
      <c r="I67" s="223"/>
    </row>
    <row r="68" spans="1:9" x14ac:dyDescent="0.25">
      <c r="A68" s="260" t="s">
        <v>73</v>
      </c>
      <c r="B68" s="261" t="s">
        <v>72</v>
      </c>
      <c r="C68" s="223">
        <v>6960625</v>
      </c>
      <c r="D68" s="223"/>
      <c r="E68" s="223"/>
      <c r="G68" s="223">
        <v>7078707.4100000001</v>
      </c>
      <c r="H68" s="223"/>
      <c r="I68" s="223"/>
    </row>
    <row r="69" spans="1:9" x14ac:dyDescent="0.25">
      <c r="A69" s="260" t="s">
        <v>71</v>
      </c>
      <c r="B69" s="261" t="s">
        <v>70</v>
      </c>
      <c r="C69" s="223">
        <v>15794832</v>
      </c>
      <c r="D69" s="223"/>
      <c r="E69" s="223"/>
      <c r="G69" s="223">
        <v>15794832.100000001</v>
      </c>
      <c r="H69" s="223"/>
      <c r="I69" s="223"/>
    </row>
    <row r="70" spans="1:9" x14ac:dyDescent="0.25">
      <c r="A70" s="260" t="s">
        <v>69</v>
      </c>
      <c r="B70" s="261" t="s">
        <v>68</v>
      </c>
      <c r="C70" s="223"/>
      <c r="D70" s="223"/>
      <c r="E70" s="223"/>
      <c r="G70" s="223"/>
      <c r="H70" s="223"/>
      <c r="I70" s="223"/>
    </row>
    <row r="71" spans="1:9" x14ac:dyDescent="0.25">
      <c r="A71" s="260" t="s">
        <v>67</v>
      </c>
      <c r="B71" s="261" t="s">
        <v>66</v>
      </c>
      <c r="C71" s="223"/>
      <c r="D71" s="223"/>
      <c r="E71" s="223"/>
      <c r="G71" s="223"/>
      <c r="H71" s="223"/>
      <c r="I71" s="223"/>
    </row>
    <row r="72" spans="1:9" x14ac:dyDescent="0.25">
      <c r="A72" s="260" t="s">
        <v>56</v>
      </c>
      <c r="B72" s="261" t="s">
        <v>65</v>
      </c>
      <c r="C72" s="223">
        <v>0</v>
      </c>
      <c r="D72" s="223"/>
      <c r="E72" s="223"/>
      <c r="G72" s="223"/>
      <c r="H72" s="223"/>
      <c r="I72" s="223"/>
    </row>
    <row r="73" spans="1:9" x14ac:dyDescent="0.25">
      <c r="A73" s="260" t="s">
        <v>56</v>
      </c>
      <c r="B73" s="261" t="s">
        <v>64</v>
      </c>
      <c r="C73" s="223">
        <v>98622</v>
      </c>
      <c r="D73" s="223">
        <v>19724.45</v>
      </c>
      <c r="E73" s="223">
        <v>69857</v>
      </c>
      <c r="G73" s="223">
        <v>98622.32</v>
      </c>
      <c r="H73" s="223">
        <v>19724.45</v>
      </c>
      <c r="I73" s="223">
        <v>79719.710000000006</v>
      </c>
    </row>
    <row r="74" spans="1:9" x14ac:dyDescent="0.25">
      <c r="A74" s="260" t="s">
        <v>58</v>
      </c>
      <c r="B74" s="261" t="s">
        <v>63</v>
      </c>
      <c r="C74" s="223">
        <v>40009842</v>
      </c>
      <c r="D74" s="223">
        <v>802061.98</v>
      </c>
      <c r="E74" s="223">
        <v>7626172</v>
      </c>
      <c r="G74" s="223">
        <v>39787483.869999997</v>
      </c>
      <c r="H74" s="223">
        <v>802061.98</v>
      </c>
      <c r="I74" s="223">
        <v>8027203.54</v>
      </c>
    </row>
    <row r="75" spans="1:9" x14ac:dyDescent="0.25">
      <c r="A75" s="260" t="s">
        <v>58</v>
      </c>
      <c r="B75" s="261" t="s">
        <v>62</v>
      </c>
      <c r="C75" s="223">
        <v>14988060</v>
      </c>
      <c r="D75" s="223">
        <v>383221.76000000001</v>
      </c>
      <c r="E75" s="223">
        <v>4960423</v>
      </c>
      <c r="G75" s="223">
        <v>14988060.27</v>
      </c>
      <c r="H75" s="223">
        <v>383221.76000000001</v>
      </c>
      <c r="I75" s="223">
        <v>5152033.4400000004</v>
      </c>
    </row>
    <row r="76" spans="1:9" x14ac:dyDescent="0.25">
      <c r="A76" s="260" t="s">
        <v>56</v>
      </c>
      <c r="B76" s="261" t="s">
        <v>61</v>
      </c>
      <c r="C76" s="223">
        <v>15302.920000000004</v>
      </c>
      <c r="D76" s="223">
        <v>3060.57</v>
      </c>
      <c r="E76" s="223">
        <v>11349.713749999997</v>
      </c>
      <c r="G76" s="223">
        <v>15302.92</v>
      </c>
      <c r="H76" s="223">
        <v>3060.57</v>
      </c>
      <c r="I76" s="223">
        <v>12879.99</v>
      </c>
    </row>
    <row r="77" spans="1:9" x14ac:dyDescent="0.25">
      <c r="A77" s="272" t="s">
        <v>56</v>
      </c>
      <c r="B77" s="261" t="s">
        <v>60</v>
      </c>
      <c r="C77" s="223">
        <v>48435.51</v>
      </c>
      <c r="D77" s="223">
        <v>9687.1200000000008</v>
      </c>
      <c r="E77" s="223">
        <v>28657.73</v>
      </c>
      <c r="G77" s="223">
        <v>48435.51</v>
      </c>
      <c r="H77" s="223">
        <v>9687.1200000000008</v>
      </c>
      <c r="I77" s="223">
        <v>33501.29</v>
      </c>
    </row>
    <row r="78" spans="1:9" x14ac:dyDescent="0.25">
      <c r="A78" s="272" t="s">
        <v>56</v>
      </c>
      <c r="B78" s="261" t="s">
        <v>59</v>
      </c>
      <c r="C78" s="223">
        <v>103098.41000000002</v>
      </c>
      <c r="D78" s="223">
        <v>20619.66</v>
      </c>
      <c r="E78" s="223">
        <v>59281.632500000007</v>
      </c>
      <c r="G78" s="223">
        <v>103098.41</v>
      </c>
      <c r="H78" s="223">
        <v>20619.66</v>
      </c>
      <c r="I78" s="223">
        <v>69591.460000000006</v>
      </c>
    </row>
    <row r="79" spans="1:9" x14ac:dyDescent="0.25">
      <c r="A79" s="272" t="s">
        <v>58</v>
      </c>
      <c r="B79" s="261" t="s">
        <v>57</v>
      </c>
      <c r="C79" s="223">
        <v>222357.93999999997</v>
      </c>
      <c r="D79" s="223">
        <v>4226.28</v>
      </c>
      <c r="E79" s="223">
        <v>51720.609999999993</v>
      </c>
      <c r="G79" s="223">
        <v>222357.94</v>
      </c>
      <c r="H79" s="223">
        <v>4226.28</v>
      </c>
      <c r="I79" s="223">
        <v>53833.75</v>
      </c>
    </row>
    <row r="80" spans="1:9" x14ac:dyDescent="0.25">
      <c r="A80" s="272" t="s">
        <v>56</v>
      </c>
      <c r="B80" s="261" t="s">
        <v>55</v>
      </c>
      <c r="C80" s="223">
        <v>397167.25</v>
      </c>
      <c r="D80" s="223">
        <v>100036.56000000001</v>
      </c>
      <c r="E80" s="223">
        <v>151244.05000000002</v>
      </c>
      <c r="G80" s="223">
        <v>397167.25</v>
      </c>
      <c r="H80" s="223">
        <v>100036.56000000001</v>
      </c>
      <c r="I80" s="223">
        <v>201262.33</v>
      </c>
    </row>
    <row r="81" spans="1:9" x14ac:dyDescent="0.25">
      <c r="A81" s="260" t="s">
        <v>56</v>
      </c>
      <c r="B81" s="261" t="s">
        <v>532</v>
      </c>
      <c r="C81" s="223"/>
      <c r="D81" s="223"/>
      <c r="E81" s="223"/>
      <c r="G81" s="223">
        <v>16990239.199999999</v>
      </c>
      <c r="H81" s="223">
        <v>5669283.3340000007</v>
      </c>
      <c r="I81" s="223">
        <v>12688074.934416663</v>
      </c>
    </row>
    <row r="82" spans="1:9" x14ac:dyDescent="0.25">
      <c r="A82" s="260" t="s">
        <v>471</v>
      </c>
      <c r="B82" s="252" t="s">
        <v>472</v>
      </c>
      <c r="C82" s="223"/>
      <c r="D82" s="223"/>
      <c r="E82" s="223"/>
      <c r="G82" s="223">
        <v>113664.97</v>
      </c>
      <c r="H82" s="223">
        <v>22732.993999999995</v>
      </c>
      <c r="I82" s="223">
        <v>46413.304416666688</v>
      </c>
    </row>
    <row r="83" spans="1:9" x14ac:dyDescent="0.25">
      <c r="A83" s="252"/>
      <c r="B83" s="258" t="s">
        <v>54</v>
      </c>
      <c r="C83" s="229">
        <f>SUM(C67:C80)</f>
        <v>82433350.030000001</v>
      </c>
      <c r="D83" s="229">
        <f>SUM(D67:D80)</f>
        <v>1342638.3800000001</v>
      </c>
      <c r="E83" s="229">
        <f>SUM(E67:E80)</f>
        <v>12958705.73625</v>
      </c>
      <c r="G83" s="229">
        <f>SUM(G67:G82)</f>
        <v>99432946.950000003</v>
      </c>
      <c r="H83" s="229">
        <f t="shared" ref="H83" si="0">SUM(H67:H82)</f>
        <v>7034654.7080000006</v>
      </c>
      <c r="I83" s="229">
        <f>SUM(I67:I82)</f>
        <v>26364513.748833332</v>
      </c>
    </row>
    <row r="84" spans="1:9" x14ac:dyDescent="0.25">
      <c r="A84" s="252"/>
      <c r="B84" s="252"/>
      <c r="C84" s="273"/>
      <c r="D84" s="273"/>
      <c r="E84" s="273"/>
      <c r="G84" s="274"/>
      <c r="H84" s="274"/>
      <c r="I84" s="274"/>
    </row>
    <row r="85" spans="1:9" ht="13.8" thickBot="1" x14ac:dyDescent="0.3">
      <c r="A85" s="275" t="s">
        <v>53</v>
      </c>
      <c r="B85" s="276"/>
      <c r="C85" s="277">
        <f>C64+C83</f>
        <v>3871924468.5695839</v>
      </c>
      <c r="D85" s="277">
        <f>D64+D83</f>
        <v>162837010.49813086</v>
      </c>
      <c r="E85" s="277">
        <f>E64+E83</f>
        <v>1776819625.1187038</v>
      </c>
      <c r="G85" s="278">
        <f>G64+G83</f>
        <v>4025624722.9799995</v>
      </c>
      <c r="H85" s="278">
        <f>H64+H83</f>
        <v>168529026.82613087</v>
      </c>
      <c r="I85" s="278">
        <f>I64+I83</f>
        <v>1929700948.2488337</v>
      </c>
    </row>
    <row r="86" spans="1:9" ht="13.8" thickTop="1" x14ac:dyDescent="0.25"/>
    <row r="87" spans="1:9" s="69" customFormat="1" ht="10.199999999999999" x14ac:dyDescent="0.2"/>
    <row r="88" spans="1:9" s="69" customFormat="1" ht="10.199999999999999" x14ac:dyDescent="0.2"/>
    <row r="89" spans="1:9" s="69" customFormat="1" ht="10.199999999999999" x14ac:dyDescent="0.2"/>
    <row r="90" spans="1:9" s="69" customFormat="1" ht="10.199999999999999" x14ac:dyDescent="0.2"/>
    <row r="91" spans="1:9" s="69" customFormat="1" ht="10.199999999999999" x14ac:dyDescent="0.2"/>
    <row r="92" spans="1:9" s="69" customFormat="1" ht="10.199999999999999" x14ac:dyDescent="0.2"/>
    <row r="93" spans="1:9" s="69" customFormat="1" ht="10.199999999999999" x14ac:dyDescent="0.2"/>
    <row r="94" spans="1:9" s="69" customFormat="1" ht="10.199999999999999" x14ac:dyDescent="0.2"/>
    <row r="95" spans="1:9" s="69" customFormat="1" ht="10.199999999999999" x14ac:dyDescent="0.2"/>
    <row r="96" spans="1:9" s="69" customFormat="1" ht="10.199999999999999" x14ac:dyDescent="0.2"/>
    <row r="97" s="69" customFormat="1" ht="10.199999999999999" x14ac:dyDescent="0.2"/>
    <row r="98" s="69" customFormat="1" ht="10.199999999999999" x14ac:dyDescent="0.2"/>
    <row r="99" s="69" customFormat="1" ht="10.199999999999999" x14ac:dyDescent="0.2"/>
    <row r="100" s="69" customFormat="1" ht="10.199999999999999" x14ac:dyDescent="0.2"/>
    <row r="101" s="69" customFormat="1" ht="10.199999999999999" x14ac:dyDescent="0.2"/>
    <row r="102" s="69" customFormat="1" ht="10.199999999999999" x14ac:dyDescent="0.2"/>
    <row r="103" s="69" customFormat="1" ht="10.199999999999999" x14ac:dyDescent="0.2"/>
    <row r="104" s="69" customFormat="1" ht="10.199999999999999" x14ac:dyDescent="0.2"/>
    <row r="105" s="69" customFormat="1" ht="10.199999999999999" x14ac:dyDescent="0.2"/>
    <row r="106" s="69" customFormat="1" ht="10.199999999999999" x14ac:dyDescent="0.2"/>
    <row r="107" s="69" customFormat="1" ht="10.199999999999999" x14ac:dyDescent="0.2"/>
    <row r="108" s="69" customFormat="1" ht="10.199999999999999" x14ac:dyDescent="0.2"/>
    <row r="109" s="69" customFormat="1" ht="10.199999999999999" x14ac:dyDescent="0.2"/>
    <row r="110" s="69" customFormat="1" ht="10.199999999999999" x14ac:dyDescent="0.2"/>
    <row r="111" s="69" customFormat="1" ht="10.199999999999999" x14ac:dyDescent="0.2"/>
    <row r="112" s="69" customFormat="1" ht="10.199999999999999" x14ac:dyDescent="0.2"/>
    <row r="113" spans="1:5" s="69" customFormat="1" ht="10.199999999999999" x14ac:dyDescent="0.2"/>
    <row r="114" spans="1:5" s="69" customFormat="1" ht="10.199999999999999" x14ac:dyDescent="0.2"/>
    <row r="115" spans="1:5" s="69" customFormat="1" ht="10.199999999999999" x14ac:dyDescent="0.2"/>
    <row r="116" spans="1:5" s="69" customFormat="1" ht="10.199999999999999" x14ac:dyDescent="0.2"/>
    <row r="117" spans="1:5" s="69" customFormat="1" ht="10.199999999999999" x14ac:dyDescent="0.2"/>
    <row r="118" spans="1:5" s="69" customFormat="1" ht="10.199999999999999" x14ac:dyDescent="0.2"/>
    <row r="119" spans="1:5" s="69" customFormat="1" ht="10.199999999999999" x14ac:dyDescent="0.2"/>
    <row r="120" spans="1:5" s="69" customFormat="1" ht="10.199999999999999" x14ac:dyDescent="0.2"/>
    <row r="121" spans="1:5" s="69" customFormat="1" ht="10.199999999999999" x14ac:dyDescent="0.2"/>
    <row r="122" spans="1:5" x14ac:dyDescent="0.25">
      <c r="A122" s="279"/>
      <c r="B122" s="279"/>
      <c r="C122" s="279"/>
      <c r="D122" s="279"/>
      <c r="E122" s="279"/>
    </row>
    <row r="123" spans="1:5" x14ac:dyDescent="0.25">
      <c r="A123" s="279"/>
      <c r="B123" s="279"/>
      <c r="C123" s="279"/>
      <c r="D123" s="279"/>
      <c r="E123" s="279"/>
    </row>
  </sheetData>
  <pageMargins left="0.45" right="0.2" top="0.5" bottom="0.5" header="0.3" footer="0.3"/>
  <pageSetup scale="79" orientation="portrait" r:id="rId1"/>
  <headerFooter>
    <oddFooter>&amp;LPrepared by: Jason Wang
Date: 1/15/2016&amp;R&amp;Z&amp;F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workbookViewId="0">
      <pane xSplit="2" ySplit="7" topLeftCell="C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3.2" outlineLevelCol="1" x14ac:dyDescent="0.25"/>
  <cols>
    <col min="1" max="1" width="14.6640625" style="70" customWidth="1"/>
    <col min="2" max="2" width="63" style="70" customWidth="1"/>
    <col min="3" max="3" width="18.44140625" style="70" hidden="1" customWidth="1" outlineLevel="1"/>
    <col min="4" max="4" width="17.5546875" style="70" hidden="1" customWidth="1" outlineLevel="1"/>
    <col min="5" max="5" width="15.5546875" style="70" hidden="1" customWidth="1" outlineLevel="1"/>
    <col min="6" max="6" width="2.44140625" style="228" hidden="1" customWidth="1" outlineLevel="1"/>
    <col min="7" max="7" width="17.5546875" style="70" bestFit="1" customWidth="1" collapsed="1"/>
    <col min="8" max="8" width="17.5546875" style="70" bestFit="1" customWidth="1"/>
    <col min="9" max="9" width="15.5546875" style="70" bestFit="1" customWidth="1"/>
    <col min="10" max="10" width="9.109375" style="70"/>
    <col min="11" max="12" width="17.5546875" style="69" bestFit="1" customWidth="1"/>
    <col min="13" max="13" width="16.109375" style="69" bestFit="1" customWidth="1"/>
    <col min="14" max="14" width="3" style="69" customWidth="1"/>
    <col min="15" max="16" width="17.5546875" style="69" bestFit="1" customWidth="1"/>
    <col min="17" max="17" width="14.88671875" style="69" bestFit="1" customWidth="1"/>
    <col min="18" max="22" width="9.109375" style="69"/>
    <col min="23" max="255" width="9.109375" style="70"/>
    <col min="256" max="256" width="63" style="70" customWidth="1"/>
    <col min="257" max="257" width="18.44140625" style="70" customWidth="1"/>
    <col min="258" max="258" width="19.6640625" style="70" customWidth="1"/>
    <col min="259" max="260" width="18.44140625" style="70" customWidth="1"/>
    <col min="261" max="261" width="16.44140625" style="70" bestFit="1" customWidth="1"/>
    <col min="262" max="511" width="9.109375" style="70"/>
    <col min="512" max="512" width="63" style="70" customWidth="1"/>
    <col min="513" max="513" width="18.44140625" style="70" customWidth="1"/>
    <col min="514" max="514" width="19.6640625" style="70" customWidth="1"/>
    <col min="515" max="516" width="18.44140625" style="70" customWidth="1"/>
    <col min="517" max="517" width="16.44140625" style="70" bestFit="1" customWidth="1"/>
    <col min="518" max="767" width="9.109375" style="70"/>
    <col min="768" max="768" width="63" style="70" customWidth="1"/>
    <col min="769" max="769" width="18.44140625" style="70" customWidth="1"/>
    <col min="770" max="770" width="19.6640625" style="70" customWidth="1"/>
    <col min="771" max="772" width="18.44140625" style="70" customWidth="1"/>
    <col min="773" max="773" width="16.44140625" style="70" bestFit="1" customWidth="1"/>
    <col min="774" max="1023" width="9.109375" style="70"/>
    <col min="1024" max="1024" width="63" style="70" customWidth="1"/>
    <col min="1025" max="1025" width="18.44140625" style="70" customWidth="1"/>
    <col min="1026" max="1026" width="19.6640625" style="70" customWidth="1"/>
    <col min="1027" max="1028" width="18.44140625" style="70" customWidth="1"/>
    <col min="1029" max="1029" width="16.44140625" style="70" bestFit="1" customWidth="1"/>
    <col min="1030" max="1279" width="9.109375" style="70"/>
    <col min="1280" max="1280" width="63" style="70" customWidth="1"/>
    <col min="1281" max="1281" width="18.44140625" style="70" customWidth="1"/>
    <col min="1282" max="1282" width="19.6640625" style="70" customWidth="1"/>
    <col min="1283" max="1284" width="18.44140625" style="70" customWidth="1"/>
    <col min="1285" max="1285" width="16.44140625" style="70" bestFit="1" customWidth="1"/>
    <col min="1286" max="1535" width="9.109375" style="70"/>
    <col min="1536" max="1536" width="63" style="70" customWidth="1"/>
    <col min="1537" max="1537" width="18.44140625" style="70" customWidth="1"/>
    <col min="1538" max="1538" width="19.6640625" style="70" customWidth="1"/>
    <col min="1539" max="1540" width="18.44140625" style="70" customWidth="1"/>
    <col min="1541" max="1541" width="16.44140625" style="70" bestFit="1" customWidth="1"/>
    <col min="1542" max="1791" width="9.109375" style="70"/>
    <col min="1792" max="1792" width="63" style="70" customWidth="1"/>
    <col min="1793" max="1793" width="18.44140625" style="70" customWidth="1"/>
    <col min="1794" max="1794" width="19.6640625" style="70" customWidth="1"/>
    <col min="1795" max="1796" width="18.44140625" style="70" customWidth="1"/>
    <col min="1797" max="1797" width="16.44140625" style="70" bestFit="1" customWidth="1"/>
    <col min="1798" max="2047" width="9.109375" style="70"/>
    <col min="2048" max="2048" width="63" style="70" customWidth="1"/>
    <col min="2049" max="2049" width="18.44140625" style="70" customWidth="1"/>
    <col min="2050" max="2050" width="19.6640625" style="70" customWidth="1"/>
    <col min="2051" max="2052" width="18.44140625" style="70" customWidth="1"/>
    <col min="2053" max="2053" width="16.44140625" style="70" bestFit="1" customWidth="1"/>
    <col min="2054" max="2303" width="9.109375" style="70"/>
    <col min="2304" max="2304" width="63" style="70" customWidth="1"/>
    <col min="2305" max="2305" width="18.44140625" style="70" customWidth="1"/>
    <col min="2306" max="2306" width="19.6640625" style="70" customWidth="1"/>
    <col min="2307" max="2308" width="18.44140625" style="70" customWidth="1"/>
    <col min="2309" max="2309" width="16.44140625" style="70" bestFit="1" customWidth="1"/>
    <col min="2310" max="2559" width="9.109375" style="70"/>
    <col min="2560" max="2560" width="63" style="70" customWidth="1"/>
    <col min="2561" max="2561" width="18.44140625" style="70" customWidth="1"/>
    <col min="2562" max="2562" width="19.6640625" style="70" customWidth="1"/>
    <col min="2563" max="2564" width="18.44140625" style="70" customWidth="1"/>
    <col min="2565" max="2565" width="16.44140625" style="70" bestFit="1" customWidth="1"/>
    <col min="2566" max="2815" width="9.109375" style="70"/>
    <col min="2816" max="2816" width="63" style="70" customWidth="1"/>
    <col min="2817" max="2817" width="18.44140625" style="70" customWidth="1"/>
    <col min="2818" max="2818" width="19.6640625" style="70" customWidth="1"/>
    <col min="2819" max="2820" width="18.44140625" style="70" customWidth="1"/>
    <col min="2821" max="2821" width="16.44140625" style="70" bestFit="1" customWidth="1"/>
    <col min="2822" max="3071" width="9.109375" style="70"/>
    <col min="3072" max="3072" width="63" style="70" customWidth="1"/>
    <col min="3073" max="3073" width="18.44140625" style="70" customWidth="1"/>
    <col min="3074" max="3074" width="19.6640625" style="70" customWidth="1"/>
    <col min="3075" max="3076" width="18.44140625" style="70" customWidth="1"/>
    <col min="3077" max="3077" width="16.44140625" style="70" bestFit="1" customWidth="1"/>
    <col min="3078" max="3327" width="9.109375" style="70"/>
    <col min="3328" max="3328" width="63" style="70" customWidth="1"/>
    <col min="3329" max="3329" width="18.44140625" style="70" customWidth="1"/>
    <col min="3330" max="3330" width="19.6640625" style="70" customWidth="1"/>
    <col min="3331" max="3332" width="18.44140625" style="70" customWidth="1"/>
    <col min="3333" max="3333" width="16.44140625" style="70" bestFit="1" customWidth="1"/>
    <col min="3334" max="3583" width="9.109375" style="70"/>
    <col min="3584" max="3584" width="63" style="70" customWidth="1"/>
    <col min="3585" max="3585" width="18.44140625" style="70" customWidth="1"/>
    <col min="3586" max="3586" width="19.6640625" style="70" customWidth="1"/>
    <col min="3587" max="3588" width="18.44140625" style="70" customWidth="1"/>
    <col min="3589" max="3589" width="16.44140625" style="70" bestFit="1" customWidth="1"/>
    <col min="3590" max="3839" width="9.109375" style="70"/>
    <col min="3840" max="3840" width="63" style="70" customWidth="1"/>
    <col min="3841" max="3841" width="18.44140625" style="70" customWidth="1"/>
    <col min="3842" max="3842" width="19.6640625" style="70" customWidth="1"/>
    <col min="3843" max="3844" width="18.44140625" style="70" customWidth="1"/>
    <col min="3845" max="3845" width="16.44140625" style="70" bestFit="1" customWidth="1"/>
    <col min="3846" max="4095" width="9.109375" style="70"/>
    <col min="4096" max="4096" width="63" style="70" customWidth="1"/>
    <col min="4097" max="4097" width="18.44140625" style="70" customWidth="1"/>
    <col min="4098" max="4098" width="19.6640625" style="70" customWidth="1"/>
    <col min="4099" max="4100" width="18.44140625" style="70" customWidth="1"/>
    <col min="4101" max="4101" width="16.44140625" style="70" bestFit="1" customWidth="1"/>
    <col min="4102" max="4351" width="9.109375" style="70"/>
    <col min="4352" max="4352" width="63" style="70" customWidth="1"/>
    <col min="4353" max="4353" width="18.44140625" style="70" customWidth="1"/>
    <col min="4354" max="4354" width="19.6640625" style="70" customWidth="1"/>
    <col min="4355" max="4356" width="18.44140625" style="70" customWidth="1"/>
    <col min="4357" max="4357" width="16.44140625" style="70" bestFit="1" customWidth="1"/>
    <col min="4358" max="4607" width="9.109375" style="70"/>
    <col min="4608" max="4608" width="63" style="70" customWidth="1"/>
    <col min="4609" max="4609" width="18.44140625" style="70" customWidth="1"/>
    <col min="4610" max="4610" width="19.6640625" style="70" customWidth="1"/>
    <col min="4611" max="4612" width="18.44140625" style="70" customWidth="1"/>
    <col min="4613" max="4613" width="16.44140625" style="70" bestFit="1" customWidth="1"/>
    <col min="4614" max="4863" width="9.109375" style="70"/>
    <col min="4864" max="4864" width="63" style="70" customWidth="1"/>
    <col min="4865" max="4865" width="18.44140625" style="70" customWidth="1"/>
    <col min="4866" max="4866" width="19.6640625" style="70" customWidth="1"/>
    <col min="4867" max="4868" width="18.44140625" style="70" customWidth="1"/>
    <col min="4869" max="4869" width="16.44140625" style="70" bestFit="1" customWidth="1"/>
    <col min="4870" max="5119" width="9.109375" style="70"/>
    <col min="5120" max="5120" width="63" style="70" customWidth="1"/>
    <col min="5121" max="5121" width="18.44140625" style="70" customWidth="1"/>
    <col min="5122" max="5122" width="19.6640625" style="70" customWidth="1"/>
    <col min="5123" max="5124" width="18.44140625" style="70" customWidth="1"/>
    <col min="5125" max="5125" width="16.44140625" style="70" bestFit="1" customWidth="1"/>
    <col min="5126" max="5375" width="9.109375" style="70"/>
    <col min="5376" max="5376" width="63" style="70" customWidth="1"/>
    <col min="5377" max="5377" width="18.44140625" style="70" customWidth="1"/>
    <col min="5378" max="5378" width="19.6640625" style="70" customWidth="1"/>
    <col min="5379" max="5380" width="18.44140625" style="70" customWidth="1"/>
    <col min="5381" max="5381" width="16.44140625" style="70" bestFit="1" customWidth="1"/>
    <col min="5382" max="5631" width="9.109375" style="70"/>
    <col min="5632" max="5632" width="63" style="70" customWidth="1"/>
    <col min="5633" max="5633" width="18.44140625" style="70" customWidth="1"/>
    <col min="5634" max="5634" width="19.6640625" style="70" customWidth="1"/>
    <col min="5635" max="5636" width="18.44140625" style="70" customWidth="1"/>
    <col min="5637" max="5637" width="16.44140625" style="70" bestFit="1" customWidth="1"/>
    <col min="5638" max="5887" width="9.109375" style="70"/>
    <col min="5888" max="5888" width="63" style="70" customWidth="1"/>
    <col min="5889" max="5889" width="18.44140625" style="70" customWidth="1"/>
    <col min="5890" max="5890" width="19.6640625" style="70" customWidth="1"/>
    <col min="5891" max="5892" width="18.44140625" style="70" customWidth="1"/>
    <col min="5893" max="5893" width="16.44140625" style="70" bestFit="1" customWidth="1"/>
    <col min="5894" max="6143" width="9.109375" style="70"/>
    <col min="6144" max="6144" width="63" style="70" customWidth="1"/>
    <col min="6145" max="6145" width="18.44140625" style="70" customWidth="1"/>
    <col min="6146" max="6146" width="19.6640625" style="70" customWidth="1"/>
    <col min="6147" max="6148" width="18.44140625" style="70" customWidth="1"/>
    <col min="6149" max="6149" width="16.44140625" style="70" bestFit="1" customWidth="1"/>
    <col min="6150" max="6399" width="9.109375" style="70"/>
    <col min="6400" max="6400" width="63" style="70" customWidth="1"/>
    <col min="6401" max="6401" width="18.44140625" style="70" customWidth="1"/>
    <col min="6402" max="6402" width="19.6640625" style="70" customWidth="1"/>
    <col min="6403" max="6404" width="18.44140625" style="70" customWidth="1"/>
    <col min="6405" max="6405" width="16.44140625" style="70" bestFit="1" customWidth="1"/>
    <col min="6406" max="6655" width="9.109375" style="70"/>
    <col min="6656" max="6656" width="63" style="70" customWidth="1"/>
    <col min="6657" max="6657" width="18.44140625" style="70" customWidth="1"/>
    <col min="6658" max="6658" width="19.6640625" style="70" customWidth="1"/>
    <col min="6659" max="6660" width="18.44140625" style="70" customWidth="1"/>
    <col min="6661" max="6661" width="16.44140625" style="70" bestFit="1" customWidth="1"/>
    <col min="6662" max="6911" width="9.109375" style="70"/>
    <col min="6912" max="6912" width="63" style="70" customWidth="1"/>
    <col min="6913" max="6913" width="18.44140625" style="70" customWidth="1"/>
    <col min="6914" max="6914" width="19.6640625" style="70" customWidth="1"/>
    <col min="6915" max="6916" width="18.44140625" style="70" customWidth="1"/>
    <col min="6917" max="6917" width="16.44140625" style="70" bestFit="1" customWidth="1"/>
    <col min="6918" max="7167" width="9.109375" style="70"/>
    <col min="7168" max="7168" width="63" style="70" customWidth="1"/>
    <col min="7169" max="7169" width="18.44140625" style="70" customWidth="1"/>
    <col min="7170" max="7170" width="19.6640625" style="70" customWidth="1"/>
    <col min="7171" max="7172" width="18.44140625" style="70" customWidth="1"/>
    <col min="7173" max="7173" width="16.44140625" style="70" bestFit="1" customWidth="1"/>
    <col min="7174" max="7423" width="9.109375" style="70"/>
    <col min="7424" max="7424" width="63" style="70" customWidth="1"/>
    <col min="7425" max="7425" width="18.44140625" style="70" customWidth="1"/>
    <col min="7426" max="7426" width="19.6640625" style="70" customWidth="1"/>
    <col min="7427" max="7428" width="18.44140625" style="70" customWidth="1"/>
    <col min="7429" max="7429" width="16.44140625" style="70" bestFit="1" customWidth="1"/>
    <col min="7430" max="7679" width="9.109375" style="70"/>
    <col min="7680" max="7680" width="63" style="70" customWidth="1"/>
    <col min="7681" max="7681" width="18.44140625" style="70" customWidth="1"/>
    <col min="7682" max="7682" width="19.6640625" style="70" customWidth="1"/>
    <col min="7683" max="7684" width="18.44140625" style="70" customWidth="1"/>
    <col min="7685" max="7685" width="16.44140625" style="70" bestFit="1" customWidth="1"/>
    <col min="7686" max="7935" width="9.109375" style="70"/>
    <col min="7936" max="7936" width="63" style="70" customWidth="1"/>
    <col min="7937" max="7937" width="18.44140625" style="70" customWidth="1"/>
    <col min="7938" max="7938" width="19.6640625" style="70" customWidth="1"/>
    <col min="7939" max="7940" width="18.44140625" style="70" customWidth="1"/>
    <col min="7941" max="7941" width="16.44140625" style="70" bestFit="1" customWidth="1"/>
    <col min="7942" max="8191" width="9.109375" style="70"/>
    <col min="8192" max="8192" width="63" style="70" customWidth="1"/>
    <col min="8193" max="8193" width="18.44140625" style="70" customWidth="1"/>
    <col min="8194" max="8194" width="19.6640625" style="70" customWidth="1"/>
    <col min="8195" max="8196" width="18.44140625" style="70" customWidth="1"/>
    <col min="8197" max="8197" width="16.44140625" style="70" bestFit="1" customWidth="1"/>
    <col min="8198" max="8447" width="9.109375" style="70"/>
    <col min="8448" max="8448" width="63" style="70" customWidth="1"/>
    <col min="8449" max="8449" width="18.44140625" style="70" customWidth="1"/>
    <col min="8450" max="8450" width="19.6640625" style="70" customWidth="1"/>
    <col min="8451" max="8452" width="18.44140625" style="70" customWidth="1"/>
    <col min="8453" max="8453" width="16.44140625" style="70" bestFit="1" customWidth="1"/>
    <col min="8454" max="8703" width="9.109375" style="70"/>
    <col min="8704" max="8704" width="63" style="70" customWidth="1"/>
    <col min="8705" max="8705" width="18.44140625" style="70" customWidth="1"/>
    <col min="8706" max="8706" width="19.6640625" style="70" customWidth="1"/>
    <col min="8707" max="8708" width="18.44140625" style="70" customWidth="1"/>
    <col min="8709" max="8709" width="16.44140625" style="70" bestFit="1" customWidth="1"/>
    <col min="8710" max="8959" width="9.109375" style="70"/>
    <col min="8960" max="8960" width="63" style="70" customWidth="1"/>
    <col min="8961" max="8961" width="18.44140625" style="70" customWidth="1"/>
    <col min="8962" max="8962" width="19.6640625" style="70" customWidth="1"/>
    <col min="8963" max="8964" width="18.44140625" style="70" customWidth="1"/>
    <col min="8965" max="8965" width="16.44140625" style="70" bestFit="1" customWidth="1"/>
    <col min="8966" max="9215" width="9.109375" style="70"/>
    <col min="9216" max="9216" width="63" style="70" customWidth="1"/>
    <col min="9217" max="9217" width="18.44140625" style="70" customWidth="1"/>
    <col min="9218" max="9218" width="19.6640625" style="70" customWidth="1"/>
    <col min="9219" max="9220" width="18.44140625" style="70" customWidth="1"/>
    <col min="9221" max="9221" width="16.44140625" style="70" bestFit="1" customWidth="1"/>
    <col min="9222" max="9471" width="9.109375" style="70"/>
    <col min="9472" max="9472" width="63" style="70" customWidth="1"/>
    <col min="9473" max="9473" width="18.44140625" style="70" customWidth="1"/>
    <col min="9474" max="9474" width="19.6640625" style="70" customWidth="1"/>
    <col min="9475" max="9476" width="18.44140625" style="70" customWidth="1"/>
    <col min="9477" max="9477" width="16.44140625" style="70" bestFit="1" customWidth="1"/>
    <col min="9478" max="9727" width="9.109375" style="70"/>
    <col min="9728" max="9728" width="63" style="70" customWidth="1"/>
    <col min="9729" max="9729" width="18.44140625" style="70" customWidth="1"/>
    <col min="9730" max="9730" width="19.6640625" style="70" customWidth="1"/>
    <col min="9731" max="9732" width="18.44140625" style="70" customWidth="1"/>
    <col min="9733" max="9733" width="16.44140625" style="70" bestFit="1" customWidth="1"/>
    <col min="9734" max="9983" width="9.109375" style="70"/>
    <col min="9984" max="9984" width="63" style="70" customWidth="1"/>
    <col min="9985" max="9985" width="18.44140625" style="70" customWidth="1"/>
    <col min="9986" max="9986" width="19.6640625" style="70" customWidth="1"/>
    <col min="9987" max="9988" width="18.44140625" style="70" customWidth="1"/>
    <col min="9989" max="9989" width="16.44140625" style="70" bestFit="1" customWidth="1"/>
    <col min="9990" max="10239" width="9.109375" style="70"/>
    <col min="10240" max="10240" width="63" style="70" customWidth="1"/>
    <col min="10241" max="10241" width="18.44140625" style="70" customWidth="1"/>
    <col min="10242" max="10242" width="19.6640625" style="70" customWidth="1"/>
    <col min="10243" max="10244" width="18.44140625" style="70" customWidth="1"/>
    <col min="10245" max="10245" width="16.44140625" style="70" bestFit="1" customWidth="1"/>
    <col min="10246" max="10495" width="9.109375" style="70"/>
    <col min="10496" max="10496" width="63" style="70" customWidth="1"/>
    <col min="10497" max="10497" width="18.44140625" style="70" customWidth="1"/>
    <col min="10498" max="10498" width="19.6640625" style="70" customWidth="1"/>
    <col min="10499" max="10500" width="18.44140625" style="70" customWidth="1"/>
    <col min="10501" max="10501" width="16.44140625" style="70" bestFit="1" customWidth="1"/>
    <col min="10502" max="10751" width="9.109375" style="70"/>
    <col min="10752" max="10752" width="63" style="70" customWidth="1"/>
    <col min="10753" max="10753" width="18.44140625" style="70" customWidth="1"/>
    <col min="10754" max="10754" width="19.6640625" style="70" customWidth="1"/>
    <col min="10755" max="10756" width="18.44140625" style="70" customWidth="1"/>
    <col min="10757" max="10757" width="16.44140625" style="70" bestFit="1" customWidth="1"/>
    <col min="10758" max="11007" width="9.109375" style="70"/>
    <col min="11008" max="11008" width="63" style="70" customWidth="1"/>
    <col min="11009" max="11009" width="18.44140625" style="70" customWidth="1"/>
    <col min="11010" max="11010" width="19.6640625" style="70" customWidth="1"/>
    <col min="11011" max="11012" width="18.44140625" style="70" customWidth="1"/>
    <col min="11013" max="11013" width="16.44140625" style="70" bestFit="1" customWidth="1"/>
    <col min="11014" max="11263" width="9.109375" style="70"/>
    <col min="11264" max="11264" width="63" style="70" customWidth="1"/>
    <col min="11265" max="11265" width="18.44140625" style="70" customWidth="1"/>
    <col min="11266" max="11266" width="19.6640625" style="70" customWidth="1"/>
    <col min="11267" max="11268" width="18.44140625" style="70" customWidth="1"/>
    <col min="11269" max="11269" width="16.44140625" style="70" bestFit="1" customWidth="1"/>
    <col min="11270" max="11519" width="9.109375" style="70"/>
    <col min="11520" max="11520" width="63" style="70" customWidth="1"/>
    <col min="11521" max="11521" width="18.44140625" style="70" customWidth="1"/>
    <col min="11522" max="11522" width="19.6640625" style="70" customWidth="1"/>
    <col min="11523" max="11524" width="18.44140625" style="70" customWidth="1"/>
    <col min="11525" max="11525" width="16.44140625" style="70" bestFit="1" customWidth="1"/>
    <col min="11526" max="11775" width="9.109375" style="70"/>
    <col min="11776" max="11776" width="63" style="70" customWidth="1"/>
    <col min="11777" max="11777" width="18.44140625" style="70" customWidth="1"/>
    <col min="11778" max="11778" width="19.6640625" style="70" customWidth="1"/>
    <col min="11779" max="11780" width="18.44140625" style="70" customWidth="1"/>
    <col min="11781" max="11781" width="16.44140625" style="70" bestFit="1" customWidth="1"/>
    <col min="11782" max="12031" width="9.109375" style="70"/>
    <col min="12032" max="12032" width="63" style="70" customWidth="1"/>
    <col min="12033" max="12033" width="18.44140625" style="70" customWidth="1"/>
    <col min="12034" max="12034" width="19.6640625" style="70" customWidth="1"/>
    <col min="12035" max="12036" width="18.44140625" style="70" customWidth="1"/>
    <col min="12037" max="12037" width="16.44140625" style="70" bestFit="1" customWidth="1"/>
    <col min="12038" max="12287" width="9.109375" style="70"/>
    <col min="12288" max="12288" width="63" style="70" customWidth="1"/>
    <col min="12289" max="12289" width="18.44140625" style="70" customWidth="1"/>
    <col min="12290" max="12290" width="19.6640625" style="70" customWidth="1"/>
    <col min="12291" max="12292" width="18.44140625" style="70" customWidth="1"/>
    <col min="12293" max="12293" width="16.44140625" style="70" bestFit="1" customWidth="1"/>
    <col min="12294" max="12543" width="9.109375" style="70"/>
    <col min="12544" max="12544" width="63" style="70" customWidth="1"/>
    <col min="12545" max="12545" width="18.44140625" style="70" customWidth="1"/>
    <col min="12546" max="12546" width="19.6640625" style="70" customWidth="1"/>
    <col min="12547" max="12548" width="18.44140625" style="70" customWidth="1"/>
    <col min="12549" max="12549" width="16.44140625" style="70" bestFit="1" customWidth="1"/>
    <col min="12550" max="12799" width="9.109375" style="70"/>
    <col min="12800" max="12800" width="63" style="70" customWidth="1"/>
    <col min="12801" max="12801" width="18.44140625" style="70" customWidth="1"/>
    <col min="12802" max="12802" width="19.6640625" style="70" customWidth="1"/>
    <col min="12803" max="12804" width="18.44140625" style="70" customWidth="1"/>
    <col min="12805" max="12805" width="16.44140625" style="70" bestFit="1" customWidth="1"/>
    <col min="12806" max="13055" width="9.109375" style="70"/>
    <col min="13056" max="13056" width="63" style="70" customWidth="1"/>
    <col min="13057" max="13057" width="18.44140625" style="70" customWidth="1"/>
    <col min="13058" max="13058" width="19.6640625" style="70" customWidth="1"/>
    <col min="13059" max="13060" width="18.44140625" style="70" customWidth="1"/>
    <col min="13061" max="13061" width="16.44140625" style="70" bestFit="1" customWidth="1"/>
    <col min="13062" max="13311" width="9.109375" style="70"/>
    <col min="13312" max="13312" width="63" style="70" customWidth="1"/>
    <col min="13313" max="13313" width="18.44140625" style="70" customWidth="1"/>
    <col min="13314" max="13314" width="19.6640625" style="70" customWidth="1"/>
    <col min="13315" max="13316" width="18.44140625" style="70" customWidth="1"/>
    <col min="13317" max="13317" width="16.44140625" style="70" bestFit="1" customWidth="1"/>
    <col min="13318" max="13567" width="9.109375" style="70"/>
    <col min="13568" max="13568" width="63" style="70" customWidth="1"/>
    <col min="13569" max="13569" width="18.44140625" style="70" customWidth="1"/>
    <col min="13570" max="13570" width="19.6640625" style="70" customWidth="1"/>
    <col min="13571" max="13572" width="18.44140625" style="70" customWidth="1"/>
    <col min="13573" max="13573" width="16.44140625" style="70" bestFit="1" customWidth="1"/>
    <col min="13574" max="13823" width="9.109375" style="70"/>
    <col min="13824" max="13824" width="63" style="70" customWidth="1"/>
    <col min="13825" max="13825" width="18.44140625" style="70" customWidth="1"/>
    <col min="13826" max="13826" width="19.6640625" style="70" customWidth="1"/>
    <col min="13827" max="13828" width="18.44140625" style="70" customWidth="1"/>
    <col min="13829" max="13829" width="16.44140625" style="70" bestFit="1" customWidth="1"/>
    <col min="13830" max="14079" width="9.109375" style="70"/>
    <col min="14080" max="14080" width="63" style="70" customWidth="1"/>
    <col min="14081" max="14081" width="18.44140625" style="70" customWidth="1"/>
    <col min="14082" max="14082" width="19.6640625" style="70" customWidth="1"/>
    <col min="14083" max="14084" width="18.44140625" style="70" customWidth="1"/>
    <col min="14085" max="14085" width="16.44140625" style="70" bestFit="1" customWidth="1"/>
    <col min="14086" max="14335" width="9.109375" style="70"/>
    <col min="14336" max="14336" width="63" style="70" customWidth="1"/>
    <col min="14337" max="14337" width="18.44140625" style="70" customWidth="1"/>
    <col min="14338" max="14338" width="19.6640625" style="70" customWidth="1"/>
    <col min="14339" max="14340" width="18.44140625" style="70" customWidth="1"/>
    <col min="14341" max="14341" width="16.44140625" style="70" bestFit="1" customWidth="1"/>
    <col min="14342" max="14591" width="9.109375" style="70"/>
    <col min="14592" max="14592" width="63" style="70" customWidth="1"/>
    <col min="14593" max="14593" width="18.44140625" style="70" customWidth="1"/>
    <col min="14594" max="14594" width="19.6640625" style="70" customWidth="1"/>
    <col min="14595" max="14596" width="18.44140625" style="70" customWidth="1"/>
    <col min="14597" max="14597" width="16.44140625" style="70" bestFit="1" customWidth="1"/>
    <col min="14598" max="14847" width="9.109375" style="70"/>
    <col min="14848" max="14848" width="63" style="70" customWidth="1"/>
    <col min="14849" max="14849" width="18.44140625" style="70" customWidth="1"/>
    <col min="14850" max="14850" width="19.6640625" style="70" customWidth="1"/>
    <col min="14851" max="14852" width="18.44140625" style="70" customWidth="1"/>
    <col min="14853" max="14853" width="16.44140625" style="70" bestFit="1" customWidth="1"/>
    <col min="14854" max="15103" width="9.109375" style="70"/>
    <col min="15104" max="15104" width="63" style="70" customWidth="1"/>
    <col min="15105" max="15105" width="18.44140625" style="70" customWidth="1"/>
    <col min="15106" max="15106" width="19.6640625" style="70" customWidth="1"/>
    <col min="15107" max="15108" width="18.44140625" style="70" customWidth="1"/>
    <col min="15109" max="15109" width="16.44140625" style="70" bestFit="1" customWidth="1"/>
    <col min="15110" max="15359" width="9.109375" style="70"/>
    <col min="15360" max="15360" width="63" style="70" customWidth="1"/>
    <col min="15361" max="15361" width="18.44140625" style="70" customWidth="1"/>
    <col min="15362" max="15362" width="19.6640625" style="70" customWidth="1"/>
    <col min="15363" max="15364" width="18.44140625" style="70" customWidth="1"/>
    <col min="15365" max="15365" width="16.44140625" style="70" bestFit="1" customWidth="1"/>
    <col min="15366" max="15615" width="9.109375" style="70"/>
    <col min="15616" max="15616" width="63" style="70" customWidth="1"/>
    <col min="15617" max="15617" width="18.44140625" style="70" customWidth="1"/>
    <col min="15618" max="15618" width="19.6640625" style="70" customWidth="1"/>
    <col min="15619" max="15620" width="18.44140625" style="70" customWidth="1"/>
    <col min="15621" max="15621" width="16.44140625" style="70" bestFit="1" customWidth="1"/>
    <col min="15622" max="15871" width="9.109375" style="70"/>
    <col min="15872" max="15872" width="63" style="70" customWidth="1"/>
    <col min="15873" max="15873" width="18.44140625" style="70" customWidth="1"/>
    <col min="15874" max="15874" width="19.6640625" style="70" customWidth="1"/>
    <col min="15875" max="15876" width="18.44140625" style="70" customWidth="1"/>
    <col min="15877" max="15877" width="16.44140625" style="70" bestFit="1" customWidth="1"/>
    <col min="15878" max="16127" width="9.109375" style="70"/>
    <col min="16128" max="16128" width="63" style="70" customWidth="1"/>
    <col min="16129" max="16129" width="18.44140625" style="70" customWidth="1"/>
    <col min="16130" max="16130" width="19.6640625" style="70" customWidth="1"/>
    <col min="16131" max="16132" width="18.44140625" style="70" customWidth="1"/>
    <col min="16133" max="16133" width="16.44140625" style="70" bestFit="1" customWidth="1"/>
    <col min="16134" max="16384" width="9.109375" style="70"/>
  </cols>
  <sheetData>
    <row r="1" spans="1:10" x14ac:dyDescent="0.25">
      <c r="A1" s="446" t="s">
        <v>148</v>
      </c>
      <c r="B1" s="446"/>
      <c r="C1" s="446"/>
      <c r="D1" s="446"/>
      <c r="E1" s="446"/>
      <c r="F1" s="121"/>
    </row>
    <row r="2" spans="1:10" x14ac:dyDescent="0.25">
      <c r="A2" s="446" t="s">
        <v>186</v>
      </c>
      <c r="B2" s="446"/>
      <c r="C2" s="446"/>
      <c r="D2" s="446"/>
      <c r="E2" s="446"/>
      <c r="F2" s="121"/>
    </row>
    <row r="3" spans="1:10" x14ac:dyDescent="0.25">
      <c r="A3" s="446" t="s">
        <v>185</v>
      </c>
      <c r="B3" s="446"/>
      <c r="C3" s="446"/>
      <c r="D3" s="446"/>
      <c r="E3" s="446"/>
      <c r="F3" s="121"/>
    </row>
    <row r="4" spans="1:10" x14ac:dyDescent="0.25">
      <c r="A4" s="446" t="s">
        <v>184</v>
      </c>
      <c r="B4" s="446"/>
      <c r="C4" s="446"/>
      <c r="D4" s="446"/>
      <c r="E4" s="446"/>
      <c r="F4" s="121"/>
    </row>
    <row r="5" spans="1:10" x14ac:dyDescent="0.25">
      <c r="A5" s="217"/>
      <c r="B5" s="167"/>
      <c r="C5" s="167"/>
      <c r="D5" s="167"/>
      <c r="E5" s="167"/>
    </row>
    <row r="7" spans="1:10" ht="26.4" x14ac:dyDescent="0.25">
      <c r="A7" s="218" t="s">
        <v>183</v>
      </c>
      <c r="B7" s="218" t="s">
        <v>30</v>
      </c>
      <c r="C7" s="218" t="s">
        <v>182</v>
      </c>
      <c r="D7" s="218" t="s">
        <v>181</v>
      </c>
      <c r="E7" s="218" t="s">
        <v>178</v>
      </c>
      <c r="G7" s="218" t="s">
        <v>180</v>
      </c>
      <c r="H7" s="218" t="s">
        <v>179</v>
      </c>
      <c r="I7" s="218" t="s">
        <v>178</v>
      </c>
    </row>
    <row r="8" spans="1:10" x14ac:dyDescent="0.25">
      <c r="A8" s="219"/>
      <c r="B8" s="220"/>
    </row>
    <row r="9" spans="1:10" x14ac:dyDescent="0.25">
      <c r="A9" s="221"/>
      <c r="B9" s="222" t="s">
        <v>177</v>
      </c>
    </row>
    <row r="10" spans="1:10" x14ac:dyDescent="0.25">
      <c r="A10" s="221" t="s">
        <v>170</v>
      </c>
      <c r="B10" s="222" t="s">
        <v>169</v>
      </c>
      <c r="C10" s="223">
        <v>10247</v>
      </c>
      <c r="D10" s="223"/>
      <c r="E10" s="223"/>
      <c r="G10" s="223">
        <v>10246.74</v>
      </c>
      <c r="H10" s="223"/>
      <c r="I10" s="223"/>
    </row>
    <row r="11" spans="1:10" x14ac:dyDescent="0.25">
      <c r="A11" s="221" t="s">
        <v>168</v>
      </c>
      <c r="B11" s="222" t="s">
        <v>103</v>
      </c>
      <c r="C11" s="223">
        <v>685927</v>
      </c>
      <c r="D11" s="223">
        <v>512176</v>
      </c>
      <c r="E11" s="223">
        <v>7548.7199999999993</v>
      </c>
      <c r="G11" s="223">
        <v>685926.52</v>
      </c>
      <c r="H11" s="223">
        <v>515950.4</v>
      </c>
      <c r="I11" s="223">
        <v>7548.7199999999993</v>
      </c>
    </row>
    <row r="12" spans="1:10" x14ac:dyDescent="0.25">
      <c r="A12" s="221" t="s">
        <v>167</v>
      </c>
      <c r="B12" s="222" t="s">
        <v>68</v>
      </c>
      <c r="C12" s="223"/>
      <c r="D12" s="223"/>
      <c r="E12" s="223"/>
      <c r="G12" s="223"/>
      <c r="H12" s="223"/>
      <c r="I12" s="223"/>
    </row>
    <row r="13" spans="1:10" x14ac:dyDescent="0.25">
      <c r="A13" s="221" t="s">
        <v>166</v>
      </c>
      <c r="B13" s="222" t="s">
        <v>165</v>
      </c>
      <c r="C13" s="223">
        <v>1231131</v>
      </c>
      <c r="D13" s="223">
        <v>1185005</v>
      </c>
      <c r="E13" s="223">
        <v>25607.52</v>
      </c>
      <c r="G13" s="223">
        <v>1231130.94</v>
      </c>
      <c r="H13" s="223">
        <v>1197808.76</v>
      </c>
      <c r="I13" s="223">
        <v>25607.52</v>
      </c>
    </row>
    <row r="14" spans="1:10" x14ac:dyDescent="0.25">
      <c r="A14" s="221" t="s">
        <v>164</v>
      </c>
      <c r="B14" s="222" t="s">
        <v>163</v>
      </c>
      <c r="C14" s="223">
        <v>14574175</v>
      </c>
      <c r="D14" s="223">
        <v>10993560</v>
      </c>
      <c r="E14" s="223">
        <v>181477.44</v>
      </c>
      <c r="G14" s="223">
        <v>14574174.449999999</v>
      </c>
      <c r="H14" s="223">
        <v>11084298.699999999</v>
      </c>
      <c r="I14" s="223">
        <v>181477.44</v>
      </c>
    </row>
    <row r="15" spans="1:10" x14ac:dyDescent="0.25">
      <c r="A15" s="221" t="s">
        <v>162</v>
      </c>
      <c r="B15" s="222" t="s">
        <v>161</v>
      </c>
      <c r="C15" s="223">
        <v>49007</v>
      </c>
      <c r="D15" s="223">
        <v>60845</v>
      </c>
      <c r="E15" s="223">
        <v>1514.28</v>
      </c>
      <c r="G15" s="223">
        <v>49006.68</v>
      </c>
      <c r="H15" s="223">
        <v>61601.83</v>
      </c>
      <c r="I15" s="223">
        <v>1514.28</v>
      </c>
    </row>
    <row r="16" spans="1:10" x14ac:dyDescent="0.25">
      <c r="A16" s="221" t="s">
        <v>160</v>
      </c>
      <c r="B16" s="222" t="s">
        <v>159</v>
      </c>
      <c r="C16" s="223">
        <v>13158153</v>
      </c>
      <c r="D16" s="223">
        <v>11094891</v>
      </c>
      <c r="E16" s="223">
        <v>170528.88</v>
      </c>
      <c r="G16" s="223">
        <v>13158152.709999999</v>
      </c>
      <c r="H16" s="223">
        <v>11180155.5</v>
      </c>
      <c r="I16" s="223">
        <v>170528.88</v>
      </c>
      <c r="J16" s="69"/>
    </row>
    <row r="17" spans="1:10" x14ac:dyDescent="0.25">
      <c r="A17" s="221" t="s">
        <v>158</v>
      </c>
      <c r="B17" s="222" t="s">
        <v>157</v>
      </c>
      <c r="C17" s="223">
        <v>113968</v>
      </c>
      <c r="D17" s="223">
        <v>80608</v>
      </c>
      <c r="E17" s="223">
        <v>1595.52</v>
      </c>
      <c r="G17" s="223">
        <v>113968.39</v>
      </c>
      <c r="H17" s="223">
        <v>81405.31</v>
      </c>
      <c r="I17" s="223">
        <v>1595.52</v>
      </c>
      <c r="J17" s="69"/>
    </row>
    <row r="18" spans="1:10" x14ac:dyDescent="0.25">
      <c r="A18" s="221"/>
      <c r="B18" s="225" t="s">
        <v>176</v>
      </c>
      <c r="C18" s="107">
        <f>SUM(C10:C17)</f>
        <v>29822608</v>
      </c>
      <c r="D18" s="107">
        <f>SUM(D10:D17)</f>
        <v>23927085</v>
      </c>
      <c r="E18" s="107">
        <f>SUM(E10:E17)</f>
        <v>388272.36</v>
      </c>
      <c r="G18" s="229">
        <f>SUM(G10:G17)</f>
        <v>29822606.43</v>
      </c>
      <c r="H18" s="229">
        <f>SUM(H10:H17)</f>
        <v>24121220.499999996</v>
      </c>
      <c r="I18" s="229">
        <f>SUM(I10:I17)</f>
        <v>388272.36</v>
      </c>
      <c r="J18" s="69"/>
    </row>
    <row r="19" spans="1:10" x14ac:dyDescent="0.25">
      <c r="A19" s="221"/>
      <c r="B19" s="222"/>
      <c r="C19" s="107"/>
      <c r="D19" s="107"/>
      <c r="E19" s="107"/>
      <c r="J19" s="69"/>
    </row>
    <row r="20" spans="1:10" x14ac:dyDescent="0.25">
      <c r="A20" s="221"/>
      <c r="B20" s="222" t="s">
        <v>175</v>
      </c>
      <c r="C20" s="223"/>
      <c r="D20" s="223"/>
      <c r="E20" s="223"/>
      <c r="J20" s="69"/>
    </row>
    <row r="21" spans="1:10" x14ac:dyDescent="0.25">
      <c r="A21" s="221" t="s">
        <v>170</v>
      </c>
      <c r="B21" s="222" t="s">
        <v>169</v>
      </c>
      <c r="C21" s="223">
        <v>0</v>
      </c>
      <c r="D21" s="223">
        <v>0</v>
      </c>
      <c r="E21" s="223">
        <v>0</v>
      </c>
      <c r="G21" s="223">
        <v>0</v>
      </c>
      <c r="H21" s="223">
        <v>0</v>
      </c>
      <c r="I21" s="223">
        <v>0</v>
      </c>
      <c r="J21" s="69"/>
    </row>
    <row r="22" spans="1:10" x14ac:dyDescent="0.25">
      <c r="A22" s="221" t="s">
        <v>168</v>
      </c>
      <c r="B22" s="222" t="s">
        <v>103</v>
      </c>
      <c r="C22" s="223">
        <v>1071124</v>
      </c>
      <c r="D22" s="223">
        <v>788117</v>
      </c>
      <c r="E22" s="223">
        <v>11782.32</v>
      </c>
      <c r="G22" s="223">
        <v>1071124.0900000001</v>
      </c>
      <c r="H22" s="223">
        <v>794007.81</v>
      </c>
      <c r="I22" s="223">
        <v>11782.32</v>
      </c>
    </row>
    <row r="23" spans="1:10" x14ac:dyDescent="0.25">
      <c r="A23" s="221" t="s">
        <v>167</v>
      </c>
      <c r="B23" s="222" t="s">
        <v>68</v>
      </c>
      <c r="C23" s="223">
        <v>486087</v>
      </c>
      <c r="D23" s="223">
        <v>353120</v>
      </c>
      <c r="E23" s="223">
        <v>7388.55</v>
      </c>
      <c r="G23" s="223">
        <v>424586.45</v>
      </c>
      <c r="H23" s="223">
        <v>295294.37</v>
      </c>
      <c r="I23" s="223">
        <v>7388.55</v>
      </c>
    </row>
    <row r="24" spans="1:10" x14ac:dyDescent="0.25">
      <c r="A24" s="221" t="s">
        <v>166</v>
      </c>
      <c r="B24" s="222" t="s">
        <v>165</v>
      </c>
      <c r="C24" s="223">
        <v>24784671</v>
      </c>
      <c r="D24" s="223">
        <v>14163443</v>
      </c>
      <c r="E24" s="223">
        <v>564440.62</v>
      </c>
      <c r="G24" s="223">
        <v>24945419.600000001</v>
      </c>
      <c r="H24" s="223">
        <v>14433373.699999999</v>
      </c>
      <c r="I24" s="223">
        <v>564440.62</v>
      </c>
    </row>
    <row r="25" spans="1:10" x14ac:dyDescent="0.25">
      <c r="A25" s="221" t="s">
        <v>164</v>
      </c>
      <c r="B25" s="222" t="s">
        <v>163</v>
      </c>
      <c r="C25" s="223">
        <v>20589451</v>
      </c>
      <c r="D25" s="223">
        <v>15263129</v>
      </c>
      <c r="E25" s="223">
        <v>257365.92</v>
      </c>
      <c r="G25" s="223">
        <v>20589451.659999996</v>
      </c>
      <c r="H25" s="223">
        <v>15391811.390000001</v>
      </c>
      <c r="I25" s="223">
        <v>257365.92</v>
      </c>
    </row>
    <row r="26" spans="1:10" x14ac:dyDescent="0.25">
      <c r="A26" s="221" t="s">
        <v>162</v>
      </c>
      <c r="B26" s="222" t="s">
        <v>161</v>
      </c>
      <c r="C26" s="223">
        <v>88692</v>
      </c>
      <c r="D26" s="223">
        <v>55739</v>
      </c>
      <c r="E26" s="223">
        <v>2740.56</v>
      </c>
      <c r="G26" s="223">
        <v>88691.66</v>
      </c>
      <c r="H26" s="223">
        <v>57109.53</v>
      </c>
      <c r="I26" s="223">
        <v>2740.56</v>
      </c>
    </row>
    <row r="27" spans="1:10" x14ac:dyDescent="0.25">
      <c r="A27" s="221" t="s">
        <v>160</v>
      </c>
      <c r="B27" s="222" t="s">
        <v>159</v>
      </c>
      <c r="C27" s="223">
        <v>20000813</v>
      </c>
      <c r="D27" s="223">
        <v>16609578</v>
      </c>
      <c r="E27" s="223">
        <v>258842.88</v>
      </c>
      <c r="G27" s="223">
        <v>20165743.359999999</v>
      </c>
      <c r="H27" s="223">
        <v>16741739.810000001</v>
      </c>
      <c r="I27" s="223">
        <v>258842.88</v>
      </c>
      <c r="J27" s="69"/>
    </row>
    <row r="28" spans="1:10" x14ac:dyDescent="0.25">
      <c r="A28" s="221" t="s">
        <v>158</v>
      </c>
      <c r="B28" s="222" t="s">
        <v>157</v>
      </c>
      <c r="C28" s="223">
        <v>331427</v>
      </c>
      <c r="D28" s="223">
        <v>232006</v>
      </c>
      <c r="E28" s="223">
        <v>4640.04</v>
      </c>
      <c r="G28" s="223">
        <v>331427.40999999997</v>
      </c>
      <c r="H28" s="223">
        <v>234325.74</v>
      </c>
      <c r="I28" s="223">
        <v>4640.04</v>
      </c>
      <c r="J28" s="69"/>
    </row>
    <row r="29" spans="1:10" x14ac:dyDescent="0.25">
      <c r="A29" s="221"/>
      <c r="B29" s="225" t="s">
        <v>174</v>
      </c>
      <c r="C29" s="107">
        <f>SUM(C21:C28)</f>
        <v>67352265</v>
      </c>
      <c r="D29" s="107">
        <f>SUM(D21:D28)</f>
        <v>47465132</v>
      </c>
      <c r="E29" s="107">
        <f>SUM(E21:E28)</f>
        <v>1107200.8900000001</v>
      </c>
      <c r="G29" s="229">
        <f>SUM(G21:G28)</f>
        <v>67616444.229999989</v>
      </c>
      <c r="H29" s="229">
        <f>SUM(H21:H28)</f>
        <v>47947662.350000001</v>
      </c>
      <c r="I29" s="229">
        <f>SUM(I21:I28)</f>
        <v>1107200.8900000001</v>
      </c>
      <c r="J29" s="69"/>
    </row>
    <row r="30" spans="1:10" x14ac:dyDescent="0.25">
      <c r="A30" s="221"/>
      <c r="B30" s="226"/>
      <c r="C30" s="107"/>
      <c r="D30" s="107"/>
      <c r="E30" s="107"/>
      <c r="J30" s="69"/>
    </row>
    <row r="31" spans="1:10" x14ac:dyDescent="0.25">
      <c r="A31" s="221"/>
      <c r="B31" s="222" t="s">
        <v>173</v>
      </c>
      <c r="C31" s="223"/>
      <c r="D31" s="223"/>
      <c r="E31" s="223"/>
      <c r="J31" s="69"/>
    </row>
    <row r="32" spans="1:10" x14ac:dyDescent="0.25">
      <c r="A32" s="221" t="s">
        <v>170</v>
      </c>
      <c r="B32" s="222" t="s">
        <v>169</v>
      </c>
      <c r="C32" s="223">
        <v>1769178</v>
      </c>
      <c r="D32" s="223"/>
      <c r="E32" s="223"/>
      <c r="F32" s="230"/>
      <c r="G32" s="223">
        <v>1769178.02</v>
      </c>
      <c r="H32" s="223"/>
      <c r="I32" s="223">
        <v>0</v>
      </c>
      <c r="J32" s="69"/>
    </row>
    <row r="33" spans="1:10" x14ac:dyDescent="0.25">
      <c r="A33" s="221" t="s">
        <v>168</v>
      </c>
      <c r="B33" s="222" t="s">
        <v>103</v>
      </c>
      <c r="C33" s="223"/>
      <c r="D33" s="223"/>
      <c r="E33" s="223"/>
      <c r="F33" s="230"/>
      <c r="G33" s="223"/>
      <c r="H33" s="223"/>
      <c r="I33" s="223">
        <v>0</v>
      </c>
    </row>
    <row r="34" spans="1:10" x14ac:dyDescent="0.25">
      <c r="A34" s="221" t="s">
        <v>167</v>
      </c>
      <c r="B34" s="222" t="s">
        <v>68</v>
      </c>
      <c r="C34" s="223">
        <v>1276264</v>
      </c>
      <c r="D34" s="223">
        <v>564628</v>
      </c>
      <c r="E34" s="223">
        <v>19399.2</v>
      </c>
      <c r="F34" s="230"/>
      <c r="G34" s="223">
        <v>1276263.6599999999</v>
      </c>
      <c r="H34" s="223">
        <v>574327.87</v>
      </c>
      <c r="I34" s="223">
        <v>19399.2</v>
      </c>
    </row>
    <row r="35" spans="1:10" x14ac:dyDescent="0.25">
      <c r="A35" s="221" t="s">
        <v>166</v>
      </c>
      <c r="B35" s="222" t="s">
        <v>165</v>
      </c>
      <c r="C35" s="223">
        <v>38758572</v>
      </c>
      <c r="D35" s="223">
        <v>18350179</v>
      </c>
      <c r="E35" s="223">
        <v>895323</v>
      </c>
      <c r="F35" s="230"/>
      <c r="G35" s="223">
        <v>39634324.710000001</v>
      </c>
      <c r="H35" s="223">
        <v>18836356.240000002</v>
      </c>
      <c r="I35" s="223">
        <v>895323</v>
      </c>
    </row>
    <row r="36" spans="1:10" x14ac:dyDescent="0.25">
      <c r="A36" s="221" t="s">
        <v>164</v>
      </c>
      <c r="B36" s="222" t="s">
        <v>163</v>
      </c>
      <c r="C36" s="223">
        <v>22781417</v>
      </c>
      <c r="D36" s="223">
        <v>10127453</v>
      </c>
      <c r="E36" s="223">
        <v>284767.68</v>
      </c>
      <c r="F36" s="230"/>
      <c r="G36" s="223">
        <v>22781416.949999999</v>
      </c>
      <c r="H36" s="223">
        <v>10269836.92</v>
      </c>
      <c r="I36" s="223">
        <v>284767.68</v>
      </c>
    </row>
    <row r="37" spans="1:10" x14ac:dyDescent="0.25">
      <c r="A37" s="221" t="s">
        <v>162</v>
      </c>
      <c r="B37" s="222" t="s">
        <v>161</v>
      </c>
      <c r="C37" s="223">
        <v>204200</v>
      </c>
      <c r="D37" s="223">
        <v>119395</v>
      </c>
      <c r="E37" s="223">
        <v>6207.72</v>
      </c>
      <c r="F37" s="230"/>
      <c r="G37" s="223">
        <v>204200</v>
      </c>
      <c r="H37" s="223">
        <v>122498.65</v>
      </c>
      <c r="I37" s="223">
        <v>6207.72</v>
      </c>
    </row>
    <row r="38" spans="1:10" x14ac:dyDescent="0.25">
      <c r="A38" s="221" t="s">
        <v>160</v>
      </c>
      <c r="B38" s="222" t="s">
        <v>159</v>
      </c>
      <c r="C38" s="223">
        <v>23640685</v>
      </c>
      <c r="D38" s="223">
        <v>13782473</v>
      </c>
      <c r="E38" s="223">
        <v>304964.76</v>
      </c>
      <c r="F38" s="230"/>
      <c r="G38" s="223">
        <v>23640685.219999999</v>
      </c>
      <c r="H38" s="223">
        <v>13934955.17</v>
      </c>
      <c r="I38" s="223">
        <v>304964.76</v>
      </c>
    </row>
    <row r="39" spans="1:10" x14ac:dyDescent="0.25">
      <c r="A39" s="221" t="s">
        <v>158</v>
      </c>
      <c r="B39" s="222" t="s">
        <v>157</v>
      </c>
      <c r="C39" s="223">
        <v>74854</v>
      </c>
      <c r="D39" s="223">
        <v>17653</v>
      </c>
      <c r="E39" s="223">
        <v>1047.96</v>
      </c>
      <c r="F39" s="230"/>
      <c r="G39" s="223">
        <v>74854.09</v>
      </c>
      <c r="H39" s="223">
        <v>18177.36</v>
      </c>
      <c r="I39" s="223">
        <v>1047.96</v>
      </c>
      <c r="J39" s="69"/>
    </row>
    <row r="40" spans="1:10" x14ac:dyDescent="0.25">
      <c r="A40" s="221"/>
      <c r="B40" s="225" t="s">
        <v>172</v>
      </c>
      <c r="C40" s="107">
        <f>SUM(C32:C39)</f>
        <v>88505170</v>
      </c>
      <c r="D40" s="107">
        <f>SUM(D32:D39)</f>
        <v>42961781</v>
      </c>
      <c r="E40" s="107">
        <f>SUM(E32:E39)</f>
        <v>1511710.3199999998</v>
      </c>
      <c r="G40" s="229">
        <f>SUM(G32:G39)</f>
        <v>89380922.650000006</v>
      </c>
      <c r="H40" s="229">
        <f>SUM(H32:H39)</f>
        <v>43756152.210000001</v>
      </c>
      <c r="I40" s="229">
        <f>SUM(I32:I39)</f>
        <v>1511710.3199999998</v>
      </c>
      <c r="J40" s="69"/>
    </row>
    <row r="41" spans="1:10" x14ac:dyDescent="0.25">
      <c r="A41" s="221"/>
      <c r="B41" s="226"/>
      <c r="C41" s="107"/>
      <c r="D41" s="107"/>
      <c r="E41" s="107"/>
      <c r="J41" s="69"/>
    </row>
    <row r="42" spans="1:10" x14ac:dyDescent="0.25">
      <c r="A42" s="221"/>
      <c r="B42" s="222" t="s">
        <v>171</v>
      </c>
      <c r="C42" s="223"/>
      <c r="D42" s="223"/>
      <c r="E42" s="223"/>
      <c r="J42" s="69"/>
    </row>
    <row r="43" spans="1:10" x14ac:dyDescent="0.25">
      <c r="A43" s="221" t="s">
        <v>170</v>
      </c>
      <c r="B43" s="222" t="s">
        <v>169</v>
      </c>
      <c r="C43" s="223">
        <v>30604</v>
      </c>
      <c r="D43" s="223"/>
      <c r="E43" s="223"/>
      <c r="G43" s="223">
        <v>30604.26</v>
      </c>
      <c r="H43" s="223"/>
      <c r="I43" s="223">
        <v>0</v>
      </c>
      <c r="J43" s="69"/>
    </row>
    <row r="44" spans="1:10" x14ac:dyDescent="0.25">
      <c r="A44" s="221" t="s">
        <v>168</v>
      </c>
      <c r="B44" s="222" t="s">
        <v>103</v>
      </c>
      <c r="C44" s="223"/>
      <c r="D44" s="223"/>
      <c r="E44" s="223"/>
      <c r="G44" s="223"/>
      <c r="H44" s="223"/>
      <c r="I44" s="223">
        <v>0</v>
      </c>
      <c r="J44" s="69"/>
    </row>
    <row r="45" spans="1:10" x14ac:dyDescent="0.25">
      <c r="A45" s="221" t="s">
        <v>167</v>
      </c>
      <c r="B45" s="222" t="s">
        <v>68</v>
      </c>
      <c r="C45" s="223"/>
      <c r="D45" s="223"/>
      <c r="E45" s="223"/>
      <c r="G45" s="223"/>
      <c r="H45" s="223"/>
      <c r="I45" s="223">
        <v>0</v>
      </c>
      <c r="J45" s="69"/>
    </row>
    <row r="46" spans="1:10" x14ac:dyDescent="0.25">
      <c r="A46" s="221" t="s">
        <v>166</v>
      </c>
      <c r="B46" s="222" t="s">
        <v>165</v>
      </c>
      <c r="C46" s="223"/>
      <c r="D46" s="223"/>
      <c r="E46" s="223"/>
      <c r="G46" s="223"/>
      <c r="H46" s="223"/>
      <c r="I46" s="223">
        <v>0</v>
      </c>
    </row>
    <row r="47" spans="1:10" x14ac:dyDescent="0.25">
      <c r="A47" s="221" t="s">
        <v>164</v>
      </c>
      <c r="B47" s="222" t="s">
        <v>163</v>
      </c>
      <c r="C47" s="223">
        <v>5744097</v>
      </c>
      <c r="D47" s="223">
        <v>2079684</v>
      </c>
      <c r="E47" s="223">
        <v>71801.279999999999</v>
      </c>
      <c r="G47" s="223">
        <v>5744097.4199999999</v>
      </c>
      <c r="H47" s="223">
        <v>2115584.9900000002</v>
      </c>
      <c r="I47" s="223">
        <v>71801.279999999999</v>
      </c>
    </row>
    <row r="48" spans="1:10" x14ac:dyDescent="0.25">
      <c r="A48" s="221" t="s">
        <v>162</v>
      </c>
      <c r="B48" s="222" t="s">
        <v>161</v>
      </c>
      <c r="C48" s="223">
        <v>3516565</v>
      </c>
      <c r="D48" s="223">
        <v>2105529</v>
      </c>
      <c r="E48" s="223">
        <v>106903.56</v>
      </c>
      <c r="G48" s="223">
        <v>3516564.77</v>
      </c>
      <c r="H48" s="223">
        <v>2158980.29</v>
      </c>
      <c r="I48" s="223">
        <v>106903.56</v>
      </c>
    </row>
    <row r="49" spans="1:10" x14ac:dyDescent="0.25">
      <c r="A49" s="221" t="s">
        <v>160</v>
      </c>
      <c r="B49" s="222" t="s">
        <v>159</v>
      </c>
      <c r="C49" s="223">
        <v>12700860</v>
      </c>
      <c r="D49" s="223">
        <v>6388260</v>
      </c>
      <c r="E49" s="223">
        <v>163841.16</v>
      </c>
      <c r="G49" s="223">
        <v>12700859.529999999</v>
      </c>
      <c r="H49" s="223">
        <v>6470180.71</v>
      </c>
      <c r="I49" s="223">
        <v>163841.16</v>
      </c>
      <c r="J49" s="69"/>
    </row>
    <row r="50" spans="1:10" x14ac:dyDescent="0.25">
      <c r="A50" s="221" t="s">
        <v>158</v>
      </c>
      <c r="B50" s="222" t="s">
        <v>157</v>
      </c>
      <c r="C50" s="223"/>
      <c r="D50" s="223"/>
      <c r="E50" s="223"/>
      <c r="G50" s="223"/>
      <c r="H50" s="223"/>
      <c r="I50" s="223"/>
      <c r="J50" s="69"/>
    </row>
    <row r="51" spans="1:10" x14ac:dyDescent="0.25">
      <c r="A51" s="221"/>
      <c r="B51" s="225" t="s">
        <v>156</v>
      </c>
      <c r="C51" s="107">
        <f>SUM(C43:C50)</f>
        <v>21992126</v>
      </c>
      <c r="D51" s="107">
        <f>SUM(D43:D50)</f>
        <v>10573473</v>
      </c>
      <c r="E51" s="107">
        <f>SUM(E43:E50)</f>
        <v>342546</v>
      </c>
      <c r="G51" s="229">
        <f>SUM(G43:G50)</f>
        <v>21992125.979999997</v>
      </c>
      <c r="H51" s="229">
        <f>SUM(H43:H50)</f>
        <v>10744745.99</v>
      </c>
      <c r="I51" s="229">
        <f>SUM(I43:I50)</f>
        <v>342546</v>
      </c>
      <c r="J51" s="69"/>
    </row>
    <row r="52" spans="1:10" x14ac:dyDescent="0.25">
      <c r="A52" s="221"/>
      <c r="B52" s="225"/>
      <c r="C52" s="107"/>
      <c r="D52" s="107"/>
      <c r="E52" s="107"/>
      <c r="J52" s="69"/>
    </row>
    <row r="53" spans="1:10" x14ac:dyDescent="0.25">
      <c r="A53" s="221"/>
      <c r="B53" s="226"/>
      <c r="C53" s="223"/>
      <c r="D53" s="223"/>
      <c r="E53" s="223"/>
      <c r="J53" s="69"/>
    </row>
    <row r="54" spans="1:10" ht="13.8" thickBot="1" x14ac:dyDescent="0.3">
      <c r="A54" s="221"/>
      <c r="B54" s="222" t="s">
        <v>155</v>
      </c>
      <c r="C54" s="227">
        <f>C18+C29+C40+C51</f>
        <v>207672169</v>
      </c>
      <c r="D54" s="227">
        <f>D18+D29+D40+D51</f>
        <v>124927471</v>
      </c>
      <c r="E54" s="227">
        <f>E18+E29+E40+E51</f>
        <v>3349729.57</v>
      </c>
      <c r="G54" s="227">
        <f>G18+G29+G40+G51</f>
        <v>208812099.28999999</v>
      </c>
      <c r="H54" s="227">
        <f>H18+H29+H40+H51</f>
        <v>126569781.05</v>
      </c>
      <c r="I54" s="227">
        <f>I18+I29+I40+I51</f>
        <v>3349729.57</v>
      </c>
      <c r="J54" s="69"/>
    </row>
    <row r="55" spans="1:10" ht="13.8" thickTop="1" x14ac:dyDescent="0.25">
      <c r="A55" s="221"/>
      <c r="B55" s="222"/>
      <c r="C55" s="231"/>
      <c r="D55" s="228"/>
      <c r="E55" s="231"/>
      <c r="J55" s="69"/>
    </row>
    <row r="56" spans="1:10" x14ac:dyDescent="0.25">
      <c r="A56" s="96"/>
      <c r="B56" s="70" t="s">
        <v>462</v>
      </c>
      <c r="C56" s="223">
        <f>-D54</f>
        <v>-124927471</v>
      </c>
      <c r="D56" s="223"/>
      <c r="E56" s="223"/>
      <c r="G56" s="223">
        <f>-H54</f>
        <v>-126569781.05</v>
      </c>
      <c r="J56" s="69"/>
    </row>
    <row r="57" spans="1:10" x14ac:dyDescent="0.25">
      <c r="A57" s="96"/>
      <c r="B57" s="70" t="s">
        <v>463</v>
      </c>
      <c r="C57" s="223">
        <f>-'DFIT 2018'!P20</f>
        <v>-4599465.8650000012</v>
      </c>
      <c r="D57" s="223"/>
      <c r="E57" s="223"/>
      <c r="G57" s="223">
        <f>-'DFIT 2018'!O20</f>
        <v>-4391221.1900000004</v>
      </c>
    </row>
    <row r="58" spans="1:10" x14ac:dyDescent="0.25">
      <c r="A58" s="96"/>
      <c r="B58" s="70" t="s">
        <v>154</v>
      </c>
      <c r="C58" s="223"/>
      <c r="D58" s="223"/>
      <c r="E58" s="223"/>
    </row>
    <row r="59" spans="1:10" x14ac:dyDescent="0.25">
      <c r="A59" s="96"/>
      <c r="B59" s="232" t="s">
        <v>153</v>
      </c>
      <c r="C59" s="223">
        <f>'Colstrip FERC'!H285</f>
        <v>1271100.2100000479</v>
      </c>
      <c r="D59" s="223"/>
      <c r="E59" s="223">
        <f>'Colstrip FERC'!C12</f>
        <v>213630.15</v>
      </c>
      <c r="G59" s="223">
        <f>'Colstrip FERC'!C285</f>
        <v>1164285.1500000476</v>
      </c>
      <c r="I59" s="223">
        <f>'Colstrip FERC'!C12</f>
        <v>213630.15</v>
      </c>
    </row>
    <row r="60" spans="1:10" x14ac:dyDescent="0.25">
      <c r="A60" s="96"/>
      <c r="B60" s="232" t="s">
        <v>152</v>
      </c>
      <c r="C60" s="223">
        <f>'Acq Adj'!F55</f>
        <v>206412.79749999999</v>
      </c>
      <c r="D60" s="223"/>
      <c r="E60" s="94">
        <f>'Acq Adj'!D55</f>
        <v>-34492.794000000002</v>
      </c>
      <c r="G60" s="223">
        <f>'Acq Adj'!F56</f>
        <v>189166.40049999999</v>
      </c>
      <c r="I60" s="94">
        <f>'Acq Adj'!D55</f>
        <v>-34492.794000000002</v>
      </c>
    </row>
    <row r="61" spans="1:10" x14ac:dyDescent="0.25">
      <c r="A61" s="96"/>
      <c r="C61" s="223"/>
      <c r="D61" s="223"/>
      <c r="E61" s="94"/>
      <c r="J61" s="69"/>
    </row>
    <row r="62" spans="1:10" x14ac:dyDescent="0.25">
      <c r="A62" s="96"/>
      <c r="B62" s="71" t="s">
        <v>151</v>
      </c>
      <c r="C62" s="233">
        <f>SUM(C54:C61)</f>
        <v>79622745.142500058</v>
      </c>
      <c r="D62" s="234"/>
      <c r="E62" s="233">
        <f>SUM(E54:E61)</f>
        <v>3528866.9259999995</v>
      </c>
      <c r="G62" s="107">
        <f>SUM(G54:G61)</f>
        <v>79204548.600500047</v>
      </c>
      <c r="H62" s="223"/>
      <c r="I62" s="107">
        <f>SUM(I54:I61)</f>
        <v>3528866.9259999995</v>
      </c>
      <c r="J62" s="69"/>
    </row>
    <row r="63" spans="1:10" ht="13.8" thickBot="1" x14ac:dyDescent="0.3">
      <c r="A63" s="96"/>
      <c r="C63" s="223"/>
      <c r="D63" s="223"/>
      <c r="E63" s="223"/>
    </row>
    <row r="64" spans="1:10" x14ac:dyDescent="0.25">
      <c r="A64" s="96"/>
      <c r="B64" s="235" t="s">
        <v>530</v>
      </c>
      <c r="C64" s="236"/>
      <c r="D64" s="236"/>
      <c r="E64" s="236"/>
      <c r="F64" s="237"/>
      <c r="G64" s="238">
        <f>-I64</f>
        <v>-3083.9040239999631</v>
      </c>
      <c r="H64" s="239"/>
      <c r="I64" s="240">
        <f>+'Trans Dep AMA to EOP'!F60</f>
        <v>3083.9040239999631</v>
      </c>
    </row>
    <row r="65" spans="1:9" x14ac:dyDescent="0.25">
      <c r="A65" s="96"/>
      <c r="B65" s="144" t="s">
        <v>531</v>
      </c>
      <c r="C65" s="94"/>
      <c r="D65" s="94"/>
      <c r="E65" s="94"/>
      <c r="F65" s="241"/>
      <c r="G65" s="242">
        <f>-G64*0.21</f>
        <v>647.61984503999224</v>
      </c>
      <c r="H65" s="96"/>
      <c r="I65" s="243"/>
    </row>
    <row r="66" spans="1:9" ht="13.8" thickBot="1" x14ac:dyDescent="0.3">
      <c r="A66" s="96"/>
      <c r="B66" s="144"/>
      <c r="C66" s="94"/>
      <c r="D66" s="94"/>
      <c r="E66" s="94"/>
      <c r="F66" s="241"/>
      <c r="G66" s="244">
        <f>SUM(G62:G65)</f>
        <v>79202112.316321075</v>
      </c>
      <c r="H66" s="96"/>
      <c r="I66" s="245">
        <f>+I62+I64</f>
        <v>3531950.8300239993</v>
      </c>
    </row>
    <row r="67" spans="1:9" ht="14.4" thickTop="1" thickBot="1" x14ac:dyDescent="0.3">
      <c r="A67" s="96"/>
      <c r="B67" s="161"/>
      <c r="C67" s="246"/>
      <c r="D67" s="246"/>
      <c r="E67" s="246"/>
      <c r="F67" s="247"/>
      <c r="G67" s="248"/>
      <c r="H67" s="248"/>
      <c r="I67" s="249"/>
    </row>
    <row r="68" spans="1:9" x14ac:dyDescent="0.25">
      <c r="A68" s="96"/>
      <c r="C68" s="223"/>
      <c r="D68" s="223"/>
      <c r="E68" s="223"/>
    </row>
    <row r="69" spans="1:9" x14ac:dyDescent="0.25">
      <c r="A69" s="96"/>
      <c r="C69" s="223"/>
      <c r="D69" s="223"/>
      <c r="E69" s="223"/>
    </row>
    <row r="70" spans="1:9" x14ac:dyDescent="0.25">
      <c r="A70" s="96"/>
      <c r="C70" s="223"/>
      <c r="D70" s="223"/>
      <c r="E70" s="223"/>
    </row>
    <row r="71" spans="1:9" x14ac:dyDescent="0.25">
      <c r="A71" s="96"/>
      <c r="C71" s="223"/>
      <c r="D71" s="223"/>
      <c r="E71" s="223"/>
    </row>
    <row r="72" spans="1:9" x14ac:dyDescent="0.25">
      <c r="A72" s="96"/>
      <c r="C72" s="223"/>
      <c r="D72" s="223"/>
      <c r="E72" s="223"/>
    </row>
    <row r="73" spans="1:9" x14ac:dyDescent="0.25">
      <c r="A73" s="96"/>
      <c r="C73" s="223"/>
      <c r="D73" s="223"/>
      <c r="E73" s="223"/>
    </row>
    <row r="74" spans="1:9" x14ac:dyDescent="0.25">
      <c r="A74" s="96"/>
      <c r="C74" s="223"/>
      <c r="D74" s="223"/>
      <c r="E74" s="223"/>
    </row>
    <row r="75" spans="1:9" x14ac:dyDescent="0.25">
      <c r="A75" s="96"/>
      <c r="C75" s="223"/>
      <c r="D75" s="223"/>
      <c r="E75" s="223"/>
    </row>
    <row r="76" spans="1:9" x14ac:dyDescent="0.25">
      <c r="A76" s="96"/>
      <c r="C76" s="223"/>
      <c r="D76" s="223"/>
      <c r="E76" s="223"/>
    </row>
    <row r="77" spans="1:9" x14ac:dyDescent="0.25">
      <c r="A77" s="96"/>
      <c r="C77" s="223"/>
      <c r="D77" s="223"/>
      <c r="E77" s="223"/>
    </row>
    <row r="78" spans="1:9" x14ac:dyDescent="0.25">
      <c r="A78" s="96"/>
    </row>
    <row r="79" spans="1:9" x14ac:dyDescent="0.25">
      <c r="A79" s="96"/>
    </row>
    <row r="80" spans="1:9" x14ac:dyDescent="0.25">
      <c r="A80" s="96"/>
    </row>
    <row r="81" spans="1:1" x14ac:dyDescent="0.25">
      <c r="A81" s="96"/>
    </row>
    <row r="82" spans="1:1" x14ac:dyDescent="0.25">
      <c r="A82" s="96"/>
    </row>
    <row r="83" spans="1:1" x14ac:dyDescent="0.25">
      <c r="A83" s="96"/>
    </row>
    <row r="84" spans="1:1" x14ac:dyDescent="0.25">
      <c r="A84" s="96"/>
    </row>
    <row r="85" spans="1:1" x14ac:dyDescent="0.25">
      <c r="A85" s="96"/>
    </row>
    <row r="86" spans="1:1" x14ac:dyDescent="0.25">
      <c r="A86" s="96"/>
    </row>
    <row r="87" spans="1:1" x14ac:dyDescent="0.25">
      <c r="A87" s="96"/>
    </row>
    <row r="88" spans="1:1" x14ac:dyDescent="0.25">
      <c r="A88" s="96"/>
    </row>
    <row r="89" spans="1:1" x14ac:dyDescent="0.25">
      <c r="A89" s="96"/>
    </row>
    <row r="90" spans="1:1" x14ac:dyDescent="0.25">
      <c r="A90" s="96"/>
    </row>
    <row r="91" spans="1:1" x14ac:dyDescent="0.25">
      <c r="A91" s="96"/>
    </row>
    <row r="92" spans="1:1" x14ac:dyDescent="0.25">
      <c r="A92" s="96"/>
    </row>
    <row r="93" spans="1:1" x14ac:dyDescent="0.25">
      <c r="A93" s="96"/>
    </row>
    <row r="94" spans="1:1" x14ac:dyDescent="0.25">
      <c r="A94" s="96"/>
    </row>
    <row r="95" spans="1:1" x14ac:dyDescent="0.25">
      <c r="A95" s="96"/>
    </row>
    <row r="96" spans="1:1" x14ac:dyDescent="0.25">
      <c r="A96" s="96"/>
    </row>
    <row r="97" spans="1:1" x14ac:dyDescent="0.25">
      <c r="A97" s="96"/>
    </row>
    <row r="98" spans="1:1" x14ac:dyDescent="0.25">
      <c r="A98" s="96"/>
    </row>
    <row r="99" spans="1:1" x14ac:dyDescent="0.25">
      <c r="A99" s="96"/>
    </row>
    <row r="100" spans="1:1" x14ac:dyDescent="0.25">
      <c r="A100" s="96"/>
    </row>
    <row r="101" spans="1:1" x14ac:dyDescent="0.25">
      <c r="A101" s="96"/>
    </row>
    <row r="102" spans="1:1" x14ac:dyDescent="0.25">
      <c r="A102" s="96"/>
    </row>
    <row r="103" spans="1:1" x14ac:dyDescent="0.25">
      <c r="A103" s="96"/>
    </row>
    <row r="104" spans="1:1" x14ac:dyDescent="0.25">
      <c r="A104" s="96"/>
    </row>
    <row r="105" spans="1:1" x14ac:dyDescent="0.25">
      <c r="A105" s="96"/>
    </row>
    <row r="106" spans="1:1" x14ac:dyDescent="0.25">
      <c r="A106" s="96"/>
    </row>
    <row r="107" spans="1:1" x14ac:dyDescent="0.25">
      <c r="A107" s="96"/>
    </row>
    <row r="108" spans="1:1" x14ac:dyDescent="0.25">
      <c r="A108" s="96"/>
    </row>
    <row r="109" spans="1:1" x14ac:dyDescent="0.25">
      <c r="A109" s="96"/>
    </row>
    <row r="110" spans="1:1" x14ac:dyDescent="0.25">
      <c r="A110" s="96"/>
    </row>
    <row r="111" spans="1:1" x14ac:dyDescent="0.25">
      <c r="A111" s="96"/>
    </row>
    <row r="112" spans="1:1" x14ac:dyDescent="0.25">
      <c r="A112" s="96"/>
    </row>
    <row r="113" spans="1:1" x14ac:dyDescent="0.25">
      <c r="A113" s="96"/>
    </row>
    <row r="114" spans="1:1" x14ac:dyDescent="0.25">
      <c r="A114" s="96"/>
    </row>
    <row r="115" spans="1:1" x14ac:dyDescent="0.25">
      <c r="A115" s="96"/>
    </row>
    <row r="116" spans="1:1" x14ac:dyDescent="0.25">
      <c r="A116" s="96"/>
    </row>
  </sheetData>
  <mergeCells count="4">
    <mergeCell ref="A1:E1"/>
    <mergeCell ref="A2:E2"/>
    <mergeCell ref="A3:E3"/>
    <mergeCell ref="A4:E4"/>
  </mergeCells>
  <pageMargins left="0.45" right="0.45" top="0.75" bottom="0.75" header="0.3" footer="0.3"/>
  <pageSetup scale="85" orientation="portrait" r:id="rId1"/>
  <headerFooter>
    <oddFooter>&amp;LPrepared by: Jason Wang Date: 1/15/2016
&amp;R
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pane xSplit="3" ySplit="7" topLeftCell="D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09375" defaultRowHeight="14.4" x14ac:dyDescent="0.3"/>
  <cols>
    <col min="1" max="1" width="5.88671875" style="36" bestFit="1" customWidth="1"/>
    <col min="2" max="2" width="35.6640625" style="36" bestFit="1" customWidth="1"/>
    <col min="3" max="3" width="35.44140625" style="36" bestFit="1" customWidth="1"/>
    <col min="4" max="4" width="13.6640625" style="36" customWidth="1"/>
    <col min="5" max="5" width="14.6640625" style="36" customWidth="1"/>
    <col min="6" max="6" width="12.33203125" style="36" customWidth="1"/>
    <col min="7" max="16384" width="9.109375" style="36"/>
  </cols>
  <sheetData>
    <row r="1" spans="1:6" x14ac:dyDescent="0.3">
      <c r="A1" s="446" t="s">
        <v>148</v>
      </c>
      <c r="B1" s="446"/>
      <c r="C1" s="446"/>
      <c r="D1" s="446"/>
      <c r="E1" s="446"/>
    </row>
    <row r="2" spans="1:6" x14ac:dyDescent="0.3">
      <c r="A2" s="446" t="s">
        <v>186</v>
      </c>
      <c r="B2" s="446"/>
      <c r="C2" s="446"/>
      <c r="D2" s="446"/>
      <c r="E2" s="446"/>
    </row>
    <row r="3" spans="1:6" x14ac:dyDescent="0.3">
      <c r="A3" s="446" t="s">
        <v>185</v>
      </c>
      <c r="B3" s="446"/>
      <c r="C3" s="446"/>
      <c r="D3" s="446"/>
      <c r="E3" s="446"/>
    </row>
    <row r="4" spans="1:6" x14ac:dyDescent="0.3">
      <c r="A4" s="446" t="s">
        <v>146</v>
      </c>
      <c r="B4" s="446"/>
      <c r="C4" s="446"/>
      <c r="D4" s="446"/>
      <c r="E4" s="446"/>
    </row>
    <row r="5" spans="1:6" x14ac:dyDescent="0.3">
      <c r="A5" s="217"/>
      <c r="B5" s="217"/>
      <c r="C5" s="167"/>
      <c r="D5" s="167"/>
      <c r="E5" s="167"/>
    </row>
    <row r="6" spans="1:6" x14ac:dyDescent="0.3">
      <c r="A6" s="217"/>
      <c r="B6" s="217"/>
      <c r="C6" s="217"/>
      <c r="D6" s="217"/>
      <c r="E6" s="217"/>
      <c r="F6" s="217"/>
    </row>
    <row r="7" spans="1:6" ht="26.4" x14ac:dyDescent="0.3">
      <c r="A7" s="218" t="s">
        <v>183</v>
      </c>
      <c r="B7" s="218"/>
      <c r="C7" s="218" t="s">
        <v>30</v>
      </c>
      <c r="D7" s="218" t="s">
        <v>499</v>
      </c>
      <c r="E7" s="218" t="s">
        <v>500</v>
      </c>
      <c r="F7" s="218" t="s">
        <v>501</v>
      </c>
    </row>
    <row r="8" spans="1:6" x14ac:dyDescent="0.3">
      <c r="A8" s="219"/>
      <c r="B8" s="219"/>
      <c r="C8" s="220"/>
      <c r="D8" s="70"/>
      <c r="E8" s="70"/>
      <c r="F8" s="70"/>
    </row>
    <row r="9" spans="1:6" x14ac:dyDescent="0.3">
      <c r="A9" s="221"/>
      <c r="B9" s="221"/>
      <c r="C9" s="222" t="s">
        <v>177</v>
      </c>
      <c r="D9" s="70"/>
      <c r="E9" s="70"/>
      <c r="F9" s="70"/>
    </row>
    <row r="10" spans="1:6" x14ac:dyDescent="0.3">
      <c r="A10" s="221" t="s">
        <v>170</v>
      </c>
      <c r="B10" s="36" t="s">
        <v>502</v>
      </c>
      <c r="C10" s="222" t="s">
        <v>169</v>
      </c>
      <c r="D10" s="223">
        <v>7505.2800000000025</v>
      </c>
      <c r="E10" s="223">
        <v>7505.330359999999</v>
      </c>
      <c r="F10" s="223">
        <f t="shared" ref="F10:F20" si="0">+E10-D10</f>
        <v>5.0359999996544502E-2</v>
      </c>
    </row>
    <row r="11" spans="1:6" x14ac:dyDescent="0.3">
      <c r="A11" s="221" t="s">
        <v>170</v>
      </c>
      <c r="B11" s="36" t="s">
        <v>503</v>
      </c>
      <c r="C11" s="222" t="s">
        <v>169</v>
      </c>
      <c r="D11" s="223">
        <v>43.44</v>
      </c>
      <c r="E11" s="223">
        <v>43.485119999999995</v>
      </c>
      <c r="F11" s="223">
        <f t="shared" si="0"/>
        <v>4.5119999999997162E-2</v>
      </c>
    </row>
    <row r="12" spans="1:6" x14ac:dyDescent="0.3">
      <c r="A12" s="221" t="s">
        <v>168</v>
      </c>
      <c r="B12" s="221"/>
      <c r="C12" s="222" t="s">
        <v>103</v>
      </c>
      <c r="D12" s="223">
        <v>0</v>
      </c>
      <c r="E12" s="223">
        <v>0</v>
      </c>
      <c r="F12" s="223">
        <f t="shared" si="0"/>
        <v>0</v>
      </c>
    </row>
    <row r="13" spans="1:6" x14ac:dyDescent="0.3">
      <c r="A13" s="221" t="s">
        <v>167</v>
      </c>
      <c r="B13" s="221"/>
      <c r="C13" s="222" t="s">
        <v>68</v>
      </c>
      <c r="D13" s="223">
        <v>0</v>
      </c>
      <c r="E13" s="223">
        <v>0</v>
      </c>
      <c r="F13" s="223">
        <f t="shared" si="0"/>
        <v>0</v>
      </c>
    </row>
    <row r="14" spans="1:6" x14ac:dyDescent="0.3">
      <c r="A14" s="221" t="s">
        <v>166</v>
      </c>
      <c r="B14" s="221" t="s">
        <v>504</v>
      </c>
      <c r="C14" s="222" t="s">
        <v>165</v>
      </c>
      <c r="D14" s="223">
        <v>25607.519999999993</v>
      </c>
      <c r="E14" s="223">
        <v>25607.523552000002</v>
      </c>
      <c r="F14" s="223">
        <f t="shared" si="0"/>
        <v>3.5520000092219561E-3</v>
      </c>
    </row>
    <row r="15" spans="1:6" x14ac:dyDescent="0.3">
      <c r="A15" s="221" t="s">
        <v>164</v>
      </c>
      <c r="B15" s="221" t="s">
        <v>505</v>
      </c>
      <c r="C15" s="222" t="s">
        <v>163</v>
      </c>
      <c r="D15" s="223">
        <v>181069.92</v>
      </c>
      <c r="E15" s="223">
        <v>181069.96875</v>
      </c>
      <c r="F15" s="223">
        <f t="shared" si="0"/>
        <v>4.8749999987194315E-2</v>
      </c>
    </row>
    <row r="16" spans="1:6" x14ac:dyDescent="0.3">
      <c r="A16" s="221" t="s">
        <v>164</v>
      </c>
      <c r="B16" s="36" t="s">
        <v>506</v>
      </c>
      <c r="C16" s="222" t="s">
        <v>163</v>
      </c>
      <c r="D16" s="223">
        <v>407.51999999999992</v>
      </c>
      <c r="E16" s="223">
        <v>407.45396999999997</v>
      </c>
      <c r="F16" s="223">
        <f t="shared" si="0"/>
        <v>-6.602999999995518E-2</v>
      </c>
    </row>
    <row r="17" spans="1:6" x14ac:dyDescent="0.3">
      <c r="A17" s="221" t="s">
        <v>162</v>
      </c>
      <c r="B17" s="221" t="s">
        <v>507</v>
      </c>
      <c r="C17" s="222" t="s">
        <v>161</v>
      </c>
      <c r="D17" s="223">
        <v>1514.2800000000004</v>
      </c>
      <c r="E17" s="223">
        <v>1514.3064120000006</v>
      </c>
      <c r="F17" s="223">
        <f t="shared" si="0"/>
        <v>2.6412000000163971E-2</v>
      </c>
    </row>
    <row r="18" spans="1:6" x14ac:dyDescent="0.3">
      <c r="A18" s="221" t="s">
        <v>160</v>
      </c>
      <c r="B18" s="221" t="s">
        <v>508</v>
      </c>
      <c r="C18" s="222" t="s">
        <v>159</v>
      </c>
      <c r="D18" s="223">
        <v>166458.23999999999</v>
      </c>
      <c r="E18" s="223">
        <v>166458.228198</v>
      </c>
      <c r="F18" s="223">
        <f t="shared" si="0"/>
        <v>-1.1801999993622303E-2</v>
      </c>
    </row>
    <row r="19" spans="1:6" x14ac:dyDescent="0.3">
      <c r="A19" s="221" t="s">
        <v>160</v>
      </c>
      <c r="B19" s="36" t="s">
        <v>509</v>
      </c>
      <c r="C19" s="222" t="s">
        <v>159</v>
      </c>
      <c r="D19" s="223">
        <v>4070.6400000000012</v>
      </c>
      <c r="E19" s="223">
        <v>4070.6254400000012</v>
      </c>
      <c r="F19" s="223">
        <f t="shared" si="0"/>
        <v>-1.4560000000074069E-2</v>
      </c>
    </row>
    <row r="20" spans="1:6" x14ac:dyDescent="0.3">
      <c r="A20" s="221" t="s">
        <v>158</v>
      </c>
      <c r="B20" s="221" t="s">
        <v>510</v>
      </c>
      <c r="C20" s="222" t="s">
        <v>157</v>
      </c>
      <c r="D20" s="223">
        <v>1595.5200000000002</v>
      </c>
      <c r="E20" s="223">
        <v>1595.55746</v>
      </c>
      <c r="F20" s="223">
        <f t="shared" si="0"/>
        <v>3.7459999999782667E-2</v>
      </c>
    </row>
    <row r="21" spans="1:6" x14ac:dyDescent="0.3">
      <c r="A21" s="221"/>
      <c r="B21" s="221"/>
      <c r="C21" s="224" t="s">
        <v>176</v>
      </c>
      <c r="D21" s="107">
        <f>SUM(D10:D20)</f>
        <v>388272.36</v>
      </c>
      <c r="E21" s="107">
        <f>SUM(E10:E20)</f>
        <v>388272.47926199995</v>
      </c>
      <c r="F21" s="107">
        <f>SUM(F10:F20)</f>
        <v>0.11926199999925302</v>
      </c>
    </row>
    <row r="22" spans="1:6" x14ac:dyDescent="0.3">
      <c r="A22" s="221"/>
      <c r="B22" s="221"/>
      <c r="C22" s="222"/>
      <c r="D22" s="107"/>
      <c r="E22" s="107"/>
      <c r="F22" s="107"/>
    </row>
    <row r="23" spans="1:6" x14ac:dyDescent="0.3">
      <c r="A23" s="221"/>
      <c r="B23" s="221"/>
      <c r="C23" s="222" t="s">
        <v>175</v>
      </c>
      <c r="D23" s="223"/>
      <c r="E23" s="223"/>
      <c r="F23" s="223"/>
    </row>
    <row r="24" spans="1:6" x14ac:dyDescent="0.3">
      <c r="A24" s="221" t="s">
        <v>170</v>
      </c>
      <c r="B24" s="221" t="s">
        <v>511</v>
      </c>
      <c r="C24" s="222" t="s">
        <v>169</v>
      </c>
      <c r="D24" s="223">
        <v>11782.320000000002</v>
      </c>
      <c r="E24" s="223">
        <v>11782.36499</v>
      </c>
      <c r="F24" s="223">
        <f t="shared" ref="F24:F34" si="1">+E24-D24</f>
        <v>4.4989999998506391E-2</v>
      </c>
    </row>
    <row r="25" spans="1:6" x14ac:dyDescent="0.3">
      <c r="A25" s="221" t="s">
        <v>168</v>
      </c>
      <c r="B25" s="221"/>
      <c r="C25" s="222" t="s">
        <v>103</v>
      </c>
      <c r="D25" s="223">
        <v>0</v>
      </c>
      <c r="E25" s="223">
        <v>0</v>
      </c>
      <c r="F25" s="223">
        <f t="shared" si="1"/>
        <v>0</v>
      </c>
    </row>
    <row r="26" spans="1:6" x14ac:dyDescent="0.3">
      <c r="A26" s="221" t="s">
        <v>167</v>
      </c>
      <c r="B26" s="221" t="s">
        <v>512</v>
      </c>
      <c r="C26" s="222" t="s">
        <v>68</v>
      </c>
      <c r="D26" s="223">
        <v>7388.5500000000011</v>
      </c>
      <c r="E26" s="223">
        <v>6941.4438880000007</v>
      </c>
      <c r="F26" s="223">
        <f t="shared" si="1"/>
        <v>-447.10611200000039</v>
      </c>
    </row>
    <row r="27" spans="1:6" x14ac:dyDescent="0.3">
      <c r="A27" s="221" t="s">
        <v>166</v>
      </c>
      <c r="B27" s="221" t="s">
        <v>513</v>
      </c>
      <c r="C27" s="222" t="s">
        <v>165</v>
      </c>
      <c r="D27" s="223">
        <v>491322.58</v>
      </c>
      <c r="E27" s="223">
        <v>494853.24711900001</v>
      </c>
      <c r="F27" s="223">
        <f t="shared" si="1"/>
        <v>3530.6671189999906</v>
      </c>
    </row>
    <row r="28" spans="1:6" x14ac:dyDescent="0.3">
      <c r="A28" s="221" t="s">
        <v>166</v>
      </c>
      <c r="B28" s="36" t="s">
        <v>514</v>
      </c>
      <c r="C28" s="222" t="s">
        <v>165</v>
      </c>
      <c r="D28" s="223">
        <v>73118.039999999994</v>
      </c>
      <c r="E28" s="223">
        <v>73118.113743999987</v>
      </c>
      <c r="F28" s="223">
        <f t="shared" si="1"/>
        <v>7.3743999993894249E-2</v>
      </c>
    </row>
    <row r="29" spans="1:6" x14ac:dyDescent="0.3">
      <c r="A29" s="221" t="s">
        <v>164</v>
      </c>
      <c r="B29" s="221" t="s">
        <v>515</v>
      </c>
      <c r="C29" s="222" t="s">
        <v>163</v>
      </c>
      <c r="D29" s="223">
        <v>257364.72</v>
      </c>
      <c r="E29" s="223">
        <v>257364.80412500005</v>
      </c>
      <c r="F29" s="223">
        <f t="shared" si="1"/>
        <v>8.4125000052154064E-2</v>
      </c>
    </row>
    <row r="30" spans="1:6" x14ac:dyDescent="0.3">
      <c r="A30" s="221" t="s">
        <v>164</v>
      </c>
      <c r="B30" s="36" t="s">
        <v>516</v>
      </c>
      <c r="C30" s="222" t="s">
        <v>163</v>
      </c>
      <c r="D30" s="223">
        <v>1.2</v>
      </c>
      <c r="E30" s="223">
        <v>1.2297180000000001</v>
      </c>
      <c r="F30" s="223">
        <f t="shared" si="1"/>
        <v>2.9718000000000133E-2</v>
      </c>
    </row>
    <row r="31" spans="1:6" x14ac:dyDescent="0.3">
      <c r="A31" s="221" t="s">
        <v>162</v>
      </c>
      <c r="B31" s="221" t="s">
        <v>517</v>
      </c>
      <c r="C31" s="222" t="s">
        <v>161</v>
      </c>
      <c r="D31" s="223">
        <v>2740.5600000000009</v>
      </c>
      <c r="E31" s="223">
        <v>2740.5722940000001</v>
      </c>
      <c r="F31" s="223">
        <f t="shared" si="1"/>
        <v>1.2293999999201333E-2</v>
      </c>
    </row>
    <row r="32" spans="1:6" x14ac:dyDescent="0.3">
      <c r="A32" s="221" t="s">
        <v>160</v>
      </c>
      <c r="B32" s="221" t="s">
        <v>518</v>
      </c>
      <c r="C32" s="222" t="s">
        <v>159</v>
      </c>
      <c r="D32" s="223">
        <v>254546.40000000005</v>
      </c>
      <c r="E32" s="223">
        <v>254546.41548299996</v>
      </c>
      <c r="F32" s="223">
        <f t="shared" si="1"/>
        <v>1.5482999908272177E-2</v>
      </c>
    </row>
    <row r="33" spans="1:6" x14ac:dyDescent="0.3">
      <c r="A33" s="221" t="s">
        <v>160</v>
      </c>
      <c r="B33" s="36" t="s">
        <v>519</v>
      </c>
      <c r="C33" s="222" t="s">
        <v>159</v>
      </c>
      <c r="D33" s="223">
        <v>4296.4800000000005</v>
      </c>
      <c r="E33" s="223">
        <v>4296.533120000001</v>
      </c>
      <c r="F33" s="223">
        <f t="shared" si="1"/>
        <v>5.3120000000490109E-2</v>
      </c>
    </row>
    <row r="34" spans="1:6" x14ac:dyDescent="0.3">
      <c r="A34" s="221" t="s">
        <v>158</v>
      </c>
      <c r="B34" s="36" t="s">
        <v>520</v>
      </c>
      <c r="C34" s="222" t="s">
        <v>157</v>
      </c>
      <c r="D34" s="223">
        <v>4640.04</v>
      </c>
      <c r="E34" s="223">
        <v>4639.9837399999997</v>
      </c>
      <c r="F34" s="223">
        <f t="shared" si="1"/>
        <v>-5.6260000000293076E-2</v>
      </c>
    </row>
    <row r="35" spans="1:6" x14ac:dyDescent="0.3">
      <c r="A35" s="221"/>
      <c r="B35" s="221"/>
      <c r="C35" s="225" t="s">
        <v>174</v>
      </c>
      <c r="D35" s="107">
        <f>SUM(D24:D34)</f>
        <v>1107200.8900000001</v>
      </c>
      <c r="E35" s="107">
        <f>SUM(E24:E34)</f>
        <v>1110284.7082210002</v>
      </c>
      <c r="F35" s="107">
        <f>SUM(F24:F34)</f>
        <v>3083.8182209999422</v>
      </c>
    </row>
    <row r="36" spans="1:6" x14ac:dyDescent="0.3">
      <c r="A36" s="221"/>
      <c r="B36" s="221"/>
      <c r="C36" s="226"/>
      <c r="D36" s="107"/>
      <c r="E36" s="107"/>
      <c r="F36" s="107"/>
    </row>
    <row r="37" spans="1:6" x14ac:dyDescent="0.3">
      <c r="A37" s="221"/>
      <c r="B37" s="221"/>
      <c r="C37" s="222" t="s">
        <v>173</v>
      </c>
      <c r="D37" s="223"/>
      <c r="E37" s="223"/>
      <c r="F37" s="223"/>
    </row>
    <row r="38" spans="1:6" x14ac:dyDescent="0.3">
      <c r="A38" s="221" t="s">
        <v>170</v>
      </c>
      <c r="B38" s="221"/>
      <c r="C38" s="222" t="s">
        <v>169</v>
      </c>
      <c r="D38" s="223"/>
      <c r="E38" s="223"/>
      <c r="F38" s="223"/>
    </row>
    <row r="39" spans="1:6" x14ac:dyDescent="0.3">
      <c r="A39" s="221" t="s">
        <v>168</v>
      </c>
      <c r="B39" s="221"/>
      <c r="C39" s="222" t="s">
        <v>103</v>
      </c>
      <c r="D39" s="223"/>
      <c r="E39" s="223"/>
      <c r="F39" s="223"/>
    </row>
    <row r="40" spans="1:6" x14ac:dyDescent="0.3">
      <c r="A40" s="221" t="s">
        <v>167</v>
      </c>
      <c r="B40" s="36" t="s">
        <v>521</v>
      </c>
      <c r="C40" s="222" t="s">
        <v>68</v>
      </c>
      <c r="D40" s="223">
        <v>19399.2</v>
      </c>
      <c r="E40" s="223">
        <v>19399.207631999994</v>
      </c>
      <c r="F40" s="223">
        <f t="shared" ref="F40:F45" si="2">+E40-D40</f>
        <v>7.6319999934639782E-3</v>
      </c>
    </row>
    <row r="41" spans="1:6" x14ac:dyDescent="0.3">
      <c r="A41" s="221" t="s">
        <v>166</v>
      </c>
      <c r="B41" s="36" t="s">
        <v>522</v>
      </c>
      <c r="C41" s="222" t="s">
        <v>165</v>
      </c>
      <c r="D41" s="223">
        <v>895323</v>
      </c>
      <c r="E41" s="223">
        <v>895323.0157410003</v>
      </c>
      <c r="F41" s="223">
        <f t="shared" si="2"/>
        <v>1.5741000301204622E-2</v>
      </c>
    </row>
    <row r="42" spans="1:6" x14ac:dyDescent="0.3">
      <c r="A42" s="221" t="s">
        <v>164</v>
      </c>
      <c r="B42" s="36" t="s">
        <v>523</v>
      </c>
      <c r="C42" s="222" t="s">
        <v>163</v>
      </c>
      <c r="D42" s="223">
        <v>284767.68000000005</v>
      </c>
      <c r="E42" s="223">
        <v>284767.71187499992</v>
      </c>
      <c r="F42" s="223">
        <f t="shared" si="2"/>
        <v>3.187499986961484E-2</v>
      </c>
    </row>
    <row r="43" spans="1:6" x14ac:dyDescent="0.3">
      <c r="A43" s="221" t="s">
        <v>162</v>
      </c>
      <c r="B43" s="36" t="s">
        <v>524</v>
      </c>
      <c r="C43" s="222" t="s">
        <v>161</v>
      </c>
      <c r="D43" s="223">
        <v>6207.7199999999975</v>
      </c>
      <c r="E43" s="223">
        <v>6207.6799999999994</v>
      </c>
      <c r="F43" s="223">
        <f t="shared" si="2"/>
        <v>-3.9999999998144631E-2</v>
      </c>
    </row>
    <row r="44" spans="1:6" x14ac:dyDescent="0.3">
      <c r="A44" s="221" t="s">
        <v>160</v>
      </c>
      <c r="B44" s="36" t="s">
        <v>525</v>
      </c>
      <c r="C44" s="222" t="s">
        <v>159</v>
      </c>
      <c r="D44" s="223">
        <v>304964.76</v>
      </c>
      <c r="E44" s="223">
        <v>304964.83933799993</v>
      </c>
      <c r="F44" s="223">
        <f t="shared" si="2"/>
        <v>7.9337999923154712E-2</v>
      </c>
    </row>
    <row r="45" spans="1:6" x14ac:dyDescent="0.3">
      <c r="A45" s="221" t="s">
        <v>158</v>
      </c>
      <c r="B45" s="36" t="s">
        <v>526</v>
      </c>
      <c r="C45" s="222" t="s">
        <v>157</v>
      </c>
      <c r="D45" s="223">
        <v>1047.9600000000003</v>
      </c>
      <c r="E45" s="223">
        <v>1047.9572599999997</v>
      </c>
      <c r="F45" s="223">
        <f t="shared" si="2"/>
        <v>-2.7400000005854963E-3</v>
      </c>
    </row>
    <row r="46" spans="1:6" x14ac:dyDescent="0.3">
      <c r="A46" s="221"/>
      <c r="B46" s="221"/>
      <c r="C46" s="225" t="s">
        <v>172</v>
      </c>
      <c r="D46" s="107">
        <f>SUM(D38:D45)</f>
        <v>1511710.3199999998</v>
      </c>
      <c r="E46" s="107">
        <f>SUM(E38:E45)</f>
        <v>1511710.411846</v>
      </c>
      <c r="F46" s="107">
        <f>SUM(F38:F45)</f>
        <v>9.1846000088708024E-2</v>
      </c>
    </row>
    <row r="47" spans="1:6" x14ac:dyDescent="0.3">
      <c r="A47" s="221"/>
      <c r="B47" s="221"/>
      <c r="C47" s="226"/>
      <c r="D47" s="107"/>
      <c r="E47" s="107"/>
      <c r="F47" s="107"/>
    </row>
    <row r="48" spans="1:6" x14ac:dyDescent="0.3">
      <c r="A48" s="221"/>
      <c r="B48" s="221"/>
      <c r="C48" s="222" t="s">
        <v>171</v>
      </c>
      <c r="D48" s="223"/>
      <c r="E48" s="223"/>
      <c r="F48" s="223"/>
    </row>
    <row r="49" spans="1:6" x14ac:dyDescent="0.3">
      <c r="A49" s="221" t="s">
        <v>170</v>
      </c>
      <c r="B49" s="221"/>
      <c r="C49" s="222" t="s">
        <v>169</v>
      </c>
      <c r="D49" s="223"/>
      <c r="E49" s="223"/>
      <c r="F49" s="223"/>
    </row>
    <row r="50" spans="1:6" x14ac:dyDescent="0.3">
      <c r="A50" s="221" t="s">
        <v>168</v>
      </c>
      <c r="B50" s="221"/>
      <c r="C50" s="222" t="s">
        <v>103</v>
      </c>
      <c r="D50" s="223"/>
      <c r="E50" s="223"/>
      <c r="F50" s="223"/>
    </row>
    <row r="51" spans="1:6" x14ac:dyDescent="0.3">
      <c r="A51" s="221" t="s">
        <v>167</v>
      </c>
      <c r="B51" s="221"/>
      <c r="C51" s="222" t="s">
        <v>68</v>
      </c>
      <c r="D51" s="223"/>
      <c r="E51" s="223"/>
      <c r="F51" s="223"/>
    </row>
    <row r="52" spans="1:6" x14ac:dyDescent="0.3">
      <c r="A52" s="221" t="s">
        <v>166</v>
      </c>
      <c r="B52" s="221"/>
      <c r="C52" s="222" t="s">
        <v>165</v>
      </c>
      <c r="D52" s="223"/>
      <c r="E52" s="223"/>
      <c r="F52" s="223"/>
    </row>
    <row r="53" spans="1:6" x14ac:dyDescent="0.3">
      <c r="A53" s="221" t="s">
        <v>164</v>
      </c>
      <c r="B53" s="36" t="s">
        <v>527</v>
      </c>
      <c r="C53" s="222" t="s">
        <v>163</v>
      </c>
      <c r="D53" s="223">
        <v>71801.280000000013</v>
      </c>
      <c r="E53" s="223">
        <v>71801.217749999982</v>
      </c>
      <c r="F53" s="223">
        <f t="shared" ref="F53:F56" si="3">+E53-D53</f>
        <v>-6.2250000031781383E-2</v>
      </c>
    </row>
    <row r="54" spans="1:6" x14ac:dyDescent="0.3">
      <c r="A54" s="221" t="s">
        <v>162</v>
      </c>
      <c r="B54" s="36" t="s">
        <v>528</v>
      </c>
      <c r="C54" s="222" t="s">
        <v>161</v>
      </c>
      <c r="D54" s="223">
        <v>106903.56000000004</v>
      </c>
      <c r="E54" s="223">
        <v>106903.56900799998</v>
      </c>
      <c r="F54" s="223">
        <f t="shared" si="3"/>
        <v>9.00799993542023E-3</v>
      </c>
    </row>
    <row r="55" spans="1:6" x14ac:dyDescent="0.3">
      <c r="A55" s="221" t="s">
        <v>160</v>
      </c>
      <c r="B55" s="36" t="s">
        <v>529</v>
      </c>
      <c r="C55" s="222" t="s">
        <v>159</v>
      </c>
      <c r="D55" s="223">
        <v>163841.15999999995</v>
      </c>
      <c r="E55" s="223">
        <v>163841.08793699997</v>
      </c>
      <c r="F55" s="223">
        <f t="shared" si="3"/>
        <v>-7.2062999970512465E-2</v>
      </c>
    </row>
    <row r="56" spans="1:6" x14ac:dyDescent="0.3">
      <c r="A56" s="221" t="s">
        <v>158</v>
      </c>
      <c r="B56" s="221"/>
      <c r="C56" s="222" t="s">
        <v>157</v>
      </c>
      <c r="D56" s="223">
        <v>0</v>
      </c>
      <c r="E56" s="223">
        <v>0</v>
      </c>
      <c r="F56" s="223">
        <f t="shared" si="3"/>
        <v>0</v>
      </c>
    </row>
    <row r="57" spans="1:6" x14ac:dyDescent="0.3">
      <c r="A57" s="221"/>
      <c r="B57" s="221"/>
      <c r="C57" s="225" t="s">
        <v>156</v>
      </c>
      <c r="D57" s="107">
        <f>SUM(D49:D56)</f>
        <v>342546</v>
      </c>
      <c r="E57" s="107">
        <f>SUM(E49:E56)</f>
        <v>342545.87469499995</v>
      </c>
      <c r="F57" s="107">
        <f>SUM(F49:F56)</f>
        <v>-0.12530500006687362</v>
      </c>
    </row>
    <row r="58" spans="1:6" x14ac:dyDescent="0.3">
      <c r="A58" s="221"/>
      <c r="B58" s="221"/>
      <c r="C58" s="225"/>
      <c r="D58" s="107"/>
      <c r="E58" s="107"/>
      <c r="F58" s="107"/>
    </row>
    <row r="59" spans="1:6" x14ac:dyDescent="0.3">
      <c r="A59" s="221"/>
      <c r="B59" s="221"/>
      <c r="C59" s="226"/>
      <c r="D59" s="223"/>
      <c r="E59" s="223"/>
      <c r="F59" s="223"/>
    </row>
    <row r="60" spans="1:6" ht="15" thickBot="1" x14ac:dyDescent="0.35">
      <c r="A60" s="221"/>
      <c r="B60" s="221"/>
      <c r="C60" s="222" t="s">
        <v>155</v>
      </c>
      <c r="D60" s="227">
        <f>D21+D35+D46+D57</f>
        <v>3349729.57</v>
      </c>
      <c r="E60" s="227">
        <f>E21+E35+E46+E57</f>
        <v>3352813.4740240001</v>
      </c>
      <c r="F60" s="227">
        <f>F21+F35+F46+F57</f>
        <v>3083.9040239999631</v>
      </c>
    </row>
    <row r="61" spans="1:6" ht="15" thickTop="1" x14ac:dyDescent="0.3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5EA80DF-51E9-4662-9204-80835C97F8D9}"/>
</file>

<file path=customXml/itemProps2.xml><?xml version="1.0" encoding="utf-8"?>
<ds:datastoreItem xmlns:ds="http://schemas.openxmlformats.org/officeDocument/2006/customXml" ds:itemID="{3A290CEB-D89A-428E-ADD5-BB111295BAD2}"/>
</file>

<file path=customXml/itemProps3.xml><?xml version="1.0" encoding="utf-8"?>
<ds:datastoreItem xmlns:ds="http://schemas.openxmlformats.org/officeDocument/2006/customXml" ds:itemID="{1064A7DA-ADA7-46BE-AB0F-B0FC5CF9A138}"/>
</file>

<file path=customXml/itemProps4.xml><?xml version="1.0" encoding="utf-8"?>
<ds:datastoreItem xmlns:ds="http://schemas.openxmlformats.org/officeDocument/2006/customXml" ds:itemID="{A3D902FE-7C76-40B9-A4AA-DEDE53DB06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Exhibit A-1</vt:lpstr>
      <vt:lpstr>support A-1=&gt;</vt:lpstr>
      <vt:lpstr>Unprotected DFIT Lead</vt:lpstr>
      <vt:lpstr>Unprotected DFIT Reg Asset Amor</vt:lpstr>
      <vt:lpstr>For Prod Adj Expense</vt:lpstr>
      <vt:lpstr>Rate Base Summarized</vt:lpstr>
      <vt:lpstr>Prod 12-2018</vt:lpstr>
      <vt:lpstr>Trans 12-2018</vt:lpstr>
      <vt:lpstr>Trans Dep AMA to EOP</vt:lpstr>
      <vt:lpstr>DFIT EIM 2018</vt:lpstr>
      <vt:lpstr>DFIT 2018</vt:lpstr>
      <vt:lpstr>ARC &amp; ARO DIT Dec 2018</vt:lpstr>
      <vt:lpstr>Colstrip FERC</vt:lpstr>
      <vt:lpstr>Acq Adj</vt:lpstr>
      <vt:lpstr>Account 406</vt:lpstr>
      <vt:lpstr>Brokerage Fees</vt:lpstr>
      <vt:lpstr>Baker Treasury Grt</vt:lpstr>
      <vt:lpstr>Snoq Treasury Grt </vt:lpstr>
      <vt:lpstr>'Exhibit A-1'!Print_Area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Peterson, Pete</cp:lastModifiedBy>
  <cp:lastPrinted>2020-01-02T23:54:09Z</cp:lastPrinted>
  <dcterms:created xsi:type="dcterms:W3CDTF">2019-04-24T14:43:24Z</dcterms:created>
  <dcterms:modified xsi:type="dcterms:W3CDTF">2020-02-28T19:47:55Z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