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120" yWindow="60" windowWidth="24912" windowHeight="11568"/>
  </bookViews>
  <sheets>
    <sheet name="Exh p1" sheetId="1" r:id="rId1"/>
    <sheet name="Exh p2" sheetId="16" r:id="rId2"/>
    <sheet name="wp's ==&gt;" sheetId="17" r:id="rId3"/>
    <sheet name="TY Sales" sheetId="6" r:id="rId4"/>
    <sheet name="3.01E Lead Sheet " sheetId="18" r:id="rId5"/>
    <sheet name="Other Taxes" sheetId="7" r:id="rId6"/>
    <sheet name="PSNCG" sheetId="2" r:id="rId7"/>
    <sheet name="Exh.A-1" sheetId="15" r:id="rId8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'Exh p1'!$A$1:$R$59</definedName>
    <definedName name="_xlnm.Print_Titles" localSheetId="0">'Exh p1'!$A:$B,'Exh p1'!$1:$12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Q67" i="1" l="1"/>
  <c r="G23" i="16" l="1"/>
  <c r="H23" i="16"/>
  <c r="I23" i="16"/>
  <c r="J23" i="16"/>
  <c r="K23" i="16"/>
  <c r="I17" i="16"/>
  <c r="J17" i="16"/>
  <c r="L27" i="1" l="1"/>
  <c r="L18" i="1"/>
  <c r="K27" i="1"/>
  <c r="K18" i="1"/>
  <c r="F45" i="16" l="1"/>
  <c r="G45" i="16"/>
  <c r="H45" i="16"/>
  <c r="K45" i="16"/>
  <c r="L45" i="16"/>
  <c r="G56" i="16"/>
  <c r="H56" i="16"/>
  <c r="K56" i="16"/>
  <c r="K41" i="16"/>
  <c r="G17" i="16"/>
  <c r="H17" i="16"/>
  <c r="K17" i="16"/>
  <c r="K43" i="16" l="1"/>
  <c r="N59" i="1" l="1"/>
  <c r="M59" i="1"/>
  <c r="M48" i="1" s="1"/>
  <c r="J59" i="1"/>
  <c r="J48" i="1" s="1"/>
  <c r="I59" i="1"/>
  <c r="I48" i="1" s="1"/>
  <c r="O27" i="1"/>
  <c r="N27" i="1"/>
  <c r="M27" i="1"/>
  <c r="M44" i="1" s="1"/>
  <c r="J27" i="1"/>
  <c r="I27" i="1"/>
  <c r="O18" i="1"/>
  <c r="N18" i="1"/>
  <c r="M18" i="1"/>
  <c r="J18" i="1"/>
  <c r="I18" i="1"/>
  <c r="N48" i="1" l="1"/>
  <c r="M46" i="1"/>
  <c r="A11" i="18" l="1"/>
  <c r="F11" i="18"/>
  <c r="F13" i="18" s="1"/>
  <c r="C8" i="6" s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E12" i="18"/>
  <c r="F12" i="18" s="1"/>
  <c r="C7" i="6" s="1"/>
  <c r="E13" i="18"/>
  <c r="E14" i="18"/>
  <c r="E15" i="18"/>
  <c r="F15" i="18" s="1"/>
  <c r="C10" i="6" s="1"/>
  <c r="E16" i="18"/>
  <c r="F16" i="18" s="1"/>
  <c r="C11" i="6" s="1"/>
  <c r="E17" i="18"/>
  <c r="F17" i="18"/>
  <c r="C12" i="6" s="1"/>
  <c r="E18" i="18"/>
  <c r="E19" i="18"/>
  <c r="E20" i="18"/>
  <c r="E21" i="18"/>
  <c r="F21" i="18"/>
  <c r="C16" i="6" s="1"/>
  <c r="E22" i="18"/>
  <c r="F22" i="18"/>
  <c r="C17" i="6" s="1"/>
  <c r="E23" i="18"/>
  <c r="C24" i="18"/>
  <c r="D24" i="18"/>
  <c r="E35" i="18"/>
  <c r="F35" i="18"/>
  <c r="G35" i="18" s="1"/>
  <c r="F19" i="18" l="1"/>
  <c r="C14" i="6" s="1"/>
  <c r="F20" i="18"/>
  <c r="C15" i="6" s="1"/>
  <c r="F14" i="18"/>
  <c r="C9" i="6" s="1"/>
  <c r="F18" i="18"/>
  <c r="C13" i="6" s="1"/>
  <c r="F23" i="18"/>
  <c r="C18" i="6" s="1"/>
  <c r="F41" i="18"/>
  <c r="G42" i="18" s="1"/>
  <c r="F38" i="18"/>
  <c r="E24" i="18"/>
  <c r="F37" i="18"/>
  <c r="F24" i="18" l="1"/>
  <c r="G39" i="18"/>
  <c r="G44" i="18" s="1"/>
  <c r="G46" i="18" s="1"/>
  <c r="G47" i="18" s="1"/>
  <c r="L56" i="16" l="1"/>
  <c r="F56" i="16"/>
  <c r="L23" i="16"/>
  <c r="F23" i="16"/>
  <c r="E23" i="16"/>
  <c r="D23" i="16"/>
  <c r="L17" i="16"/>
  <c r="H27" i="1" l="1"/>
  <c r="F27" i="1"/>
  <c r="Q59" i="1"/>
  <c r="H59" i="1"/>
  <c r="F18" i="1"/>
  <c r="H48" i="1" l="1"/>
  <c r="Q48" i="1"/>
  <c r="E18" i="1" l="1"/>
  <c r="E27" i="1"/>
  <c r="G27" i="1"/>
  <c r="D27" i="1"/>
  <c r="G18" i="1"/>
  <c r="D18" i="1"/>
  <c r="F59" i="1" l="1"/>
  <c r="F48" i="1" l="1"/>
  <c r="F44" i="1"/>
  <c r="F46" i="1" l="1"/>
  <c r="D41" i="16" l="1"/>
  <c r="D17" i="16"/>
  <c r="E17" i="16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l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D43" i="16"/>
  <c r="D57" i="15" l="1"/>
  <c r="F56" i="15"/>
  <c r="F55" i="15"/>
  <c r="F54" i="15"/>
  <c r="F53" i="15"/>
  <c r="F52" i="15"/>
  <c r="F51" i="15"/>
  <c r="F50" i="15"/>
  <c r="F49" i="15"/>
  <c r="D37" i="15"/>
  <c r="F37" i="15" s="1"/>
  <c r="G37" i="15" s="1"/>
  <c r="A34" i="15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F33" i="15"/>
  <c r="D33" i="15"/>
  <c r="F32" i="15"/>
  <c r="D32" i="15"/>
  <c r="F31" i="15"/>
  <c r="D31" i="15"/>
  <c r="G30" i="15"/>
  <c r="D30" i="15"/>
  <c r="G29" i="15"/>
  <c r="D29" i="15"/>
  <c r="F28" i="15"/>
  <c r="D28" i="15"/>
  <c r="F27" i="15"/>
  <c r="D27" i="15"/>
  <c r="G26" i="15"/>
  <c r="D26" i="15"/>
  <c r="G25" i="15"/>
  <c r="D25" i="15"/>
  <c r="G24" i="15"/>
  <c r="D24" i="15"/>
  <c r="F23" i="15"/>
  <c r="D23" i="15"/>
  <c r="G22" i="15"/>
  <c r="D22" i="15"/>
  <c r="F21" i="15"/>
  <c r="D21" i="15"/>
  <c r="F20" i="15"/>
  <c r="D20" i="15"/>
  <c r="F19" i="15"/>
  <c r="D19" i="15"/>
  <c r="G18" i="15"/>
  <c r="D18" i="15"/>
  <c r="G17" i="15"/>
  <c r="D17" i="15"/>
  <c r="C16" i="15"/>
  <c r="F16" i="15" s="1"/>
  <c r="F15" i="15"/>
  <c r="C15" i="15"/>
  <c r="D15" i="15" s="1"/>
  <c r="G14" i="15"/>
  <c r="G36" i="15" s="1"/>
  <c r="D14" i="15"/>
  <c r="C13" i="15"/>
  <c r="F13" i="15" s="1"/>
  <c r="C8" i="15"/>
  <c r="F57" i="15" l="1"/>
  <c r="G42" i="15"/>
  <c r="G38" i="15"/>
  <c r="G43" i="15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F58" i="15"/>
  <c r="C34" i="15"/>
  <c r="D16" i="15"/>
  <c r="D13" i="15"/>
  <c r="F34" i="15" l="1"/>
  <c r="F36" i="15" s="1"/>
  <c r="C36" i="15"/>
  <c r="C38" i="15" s="1"/>
  <c r="D34" i="15"/>
  <c r="D36" i="15" s="1"/>
  <c r="D38" i="15" s="1"/>
  <c r="F38" i="15" l="1"/>
  <c r="F43" i="15" s="1"/>
  <c r="D43" i="15" s="1"/>
  <c r="F42" i="15"/>
  <c r="D42" i="15" s="1"/>
  <c r="C19" i="6" l="1"/>
  <c r="D18" i="6" l="1"/>
  <c r="D17" i="6"/>
  <c r="D16" i="6"/>
  <c r="D15" i="6"/>
  <c r="D14" i="6"/>
  <c r="D13" i="6"/>
  <c r="D12" i="6"/>
  <c r="D11" i="6"/>
  <c r="D10" i="6"/>
  <c r="D9" i="6"/>
  <c r="D8" i="6"/>
  <c r="D7" i="6"/>
  <c r="B19" i="6"/>
  <c r="B6" i="2" l="1"/>
  <c r="Q17" i="1" s="1"/>
  <c r="F18" i="6" l="1"/>
  <c r="F16" i="6"/>
  <c r="F14" i="6"/>
  <c r="F12" i="6"/>
  <c r="F10" i="6"/>
  <c r="F8" i="6"/>
  <c r="F17" i="6"/>
  <c r="F15" i="6"/>
  <c r="F13" i="6"/>
  <c r="F11" i="6"/>
  <c r="F9" i="6"/>
  <c r="F7" i="6"/>
  <c r="D19" i="6"/>
  <c r="F19" i="6" l="1"/>
  <c r="Q14" i="1" s="1"/>
  <c r="B10" i="7" l="1"/>
  <c r="B12" i="7" s="1"/>
  <c r="D44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D46" i="1" l="1"/>
  <c r="M15" i="16" l="1"/>
  <c r="Q32" i="1" l="1"/>
  <c r="H18" i="1" l="1"/>
  <c r="K59" i="1" l="1"/>
  <c r="K48" i="1" l="1"/>
  <c r="K42" i="1"/>
  <c r="K44" i="1" l="1"/>
  <c r="K46" i="1" l="1"/>
  <c r="P59" i="1"/>
  <c r="P44" i="1" l="1"/>
  <c r="B8" i="7"/>
  <c r="P46" i="1" l="1"/>
  <c r="F17" i="16" l="1"/>
  <c r="M36" i="16" l="1"/>
  <c r="L59" i="1" l="1"/>
  <c r="L48" i="1" l="1"/>
  <c r="Q35" i="1" l="1"/>
  <c r="L42" i="1" l="1"/>
  <c r="B13" i="7"/>
  <c r="B14" i="7" s="1"/>
  <c r="B16" i="7" s="1"/>
  <c r="Q41" i="1" s="1"/>
  <c r="L44" i="1" l="1"/>
  <c r="H42" i="1"/>
  <c r="L46" i="1"/>
  <c r="H44" i="1" l="1"/>
  <c r="H46" i="1" l="1"/>
  <c r="J44" i="1" l="1"/>
  <c r="J46" i="1" l="1"/>
  <c r="Q16" i="1" l="1"/>
  <c r="Q18" i="1" s="1"/>
  <c r="Q25" i="1"/>
  <c r="R25" i="1" s="1"/>
  <c r="R26" i="1"/>
  <c r="R29" i="1"/>
  <c r="R38" i="1" l="1"/>
  <c r="R16" i="1"/>
  <c r="I44" i="1"/>
  <c r="I46" i="1" s="1"/>
  <c r="R33" i="1"/>
  <c r="R15" i="1"/>
  <c r="R34" i="1"/>
  <c r="R30" i="1"/>
  <c r="R39" i="1" l="1"/>
  <c r="G44" i="1"/>
  <c r="G46" i="1" s="1"/>
  <c r="O44" i="1"/>
  <c r="O46" i="1" s="1"/>
  <c r="R17" i="1"/>
  <c r="R40" i="1"/>
  <c r="R31" i="1"/>
  <c r="G59" i="1" l="1"/>
  <c r="G48" i="1" s="1"/>
  <c r="Q23" i="1"/>
  <c r="R23" i="1" s="1"/>
  <c r="R58" i="1" l="1"/>
  <c r="R57" i="1" l="1"/>
  <c r="D59" i="1" l="1"/>
  <c r="D48" i="1" s="1"/>
  <c r="R53" i="1" l="1"/>
  <c r="N44" i="1" l="1"/>
  <c r="N46" i="1" s="1"/>
  <c r="R43" i="1"/>
  <c r="R37" i="1" l="1"/>
  <c r="E44" i="1" l="1"/>
  <c r="E46" i="1" s="1"/>
  <c r="E59" i="1" l="1"/>
  <c r="E48" i="1" s="1"/>
  <c r="R36" i="1"/>
  <c r="R54" i="1" l="1"/>
  <c r="C59" i="1"/>
  <c r="C48" i="1" s="1"/>
  <c r="R56" i="1" l="1"/>
  <c r="O59" i="1" l="1"/>
  <c r="R55" i="1"/>
  <c r="O48" i="1" l="1"/>
  <c r="R48" i="1" s="1"/>
  <c r="R59" i="1"/>
  <c r="R14" i="1" l="1"/>
  <c r="C18" i="1"/>
  <c r="R18" i="1" l="1"/>
  <c r="Q24" i="1" l="1"/>
  <c r="Q27" i="1" s="1"/>
  <c r="C27" i="1"/>
  <c r="R24" i="1" l="1"/>
  <c r="R27" i="1"/>
  <c r="Q42" i="1"/>
  <c r="Q44" i="1" s="1"/>
  <c r="Q46" i="1" s="1"/>
  <c r="R35" i="1" l="1"/>
  <c r="R41" i="1"/>
  <c r="R32" i="1" l="1"/>
  <c r="R42" i="1" l="1"/>
  <c r="C44" i="1"/>
  <c r="C46" i="1" s="1"/>
  <c r="C50" i="1" l="1"/>
  <c r="D50" i="1"/>
  <c r="E50" i="1" s="1"/>
  <c r="F50" i="1" s="1"/>
  <c r="R44" i="1"/>
  <c r="R46" i="1" s="1"/>
  <c r="R50" i="1" s="1"/>
  <c r="G50" i="1" l="1"/>
  <c r="H50" i="1" l="1"/>
  <c r="I50" i="1" l="1"/>
  <c r="J50" i="1" s="1"/>
  <c r="K50" i="1" s="1"/>
  <c r="L50" i="1" s="1"/>
  <c r="M50" i="1" l="1"/>
  <c r="N50" i="1" s="1"/>
  <c r="O50" i="1" l="1"/>
  <c r="Q50" i="1" s="1"/>
  <c r="R61" i="1" l="1"/>
  <c r="L33" i="16" l="1"/>
  <c r="H41" i="16" l="1"/>
  <c r="H43" i="16" s="1"/>
  <c r="G41" i="16" l="1"/>
  <c r="G43" i="16" s="1"/>
  <c r="I39" i="16" l="1"/>
  <c r="I41" i="16" s="1"/>
  <c r="I43" i="16" s="1"/>
  <c r="I56" i="16" l="1"/>
  <c r="I45" i="16" s="1"/>
  <c r="M32" i="16" l="1"/>
  <c r="M21" i="16" l="1"/>
  <c r="M23" i="16" s="1"/>
  <c r="C23" i="16"/>
  <c r="M35" i="16" l="1"/>
  <c r="M34" i="16" l="1"/>
  <c r="E41" i="16" l="1"/>
  <c r="E43" i="16" s="1"/>
  <c r="E56" i="16" l="1"/>
  <c r="E45" i="16" s="1"/>
  <c r="M40" i="16" l="1"/>
  <c r="L30" i="16" l="1"/>
  <c r="L38" i="16" l="1"/>
  <c r="L39" i="16" s="1"/>
  <c r="L41" i="16" s="1"/>
  <c r="L43" i="16" s="1"/>
  <c r="F39" i="16"/>
  <c r="F41" i="16" s="1"/>
  <c r="F43" i="16" s="1"/>
  <c r="M29" i="16" l="1"/>
  <c r="M31" i="16"/>
  <c r="M28" i="16" l="1"/>
  <c r="M27" i="16" l="1"/>
  <c r="J39" i="16" l="1"/>
  <c r="J41" i="16" s="1"/>
  <c r="J43" i="16" s="1"/>
  <c r="M37" i="16"/>
  <c r="M55" i="16"/>
  <c r="J56" i="16"/>
  <c r="J45" i="16" s="1"/>
  <c r="M16" i="16" l="1"/>
  <c r="M52" i="16" l="1"/>
  <c r="M53" i="16"/>
  <c r="M51" i="16" l="1"/>
  <c r="M50" i="16" l="1"/>
  <c r="D56" i="16" l="1"/>
  <c r="D45" i="16" s="1"/>
  <c r="M54" i="16" l="1"/>
  <c r="C56" i="16"/>
  <c r="C45" i="16" s="1"/>
  <c r="M56" i="16" l="1"/>
  <c r="M45" i="16" l="1"/>
  <c r="M58" i="16" l="1"/>
  <c r="M14" i="16" l="1"/>
  <c r="C17" i="16"/>
  <c r="M17" i="16" l="1"/>
  <c r="M33" i="16" l="1"/>
  <c r="M38" i="16" l="1"/>
  <c r="M30" i="16" l="1"/>
  <c r="M39" i="16" l="1"/>
  <c r="M41" i="16" s="1"/>
  <c r="M43" i="16" s="1"/>
  <c r="M47" i="16" s="1"/>
  <c r="C41" i="16"/>
  <c r="C43" i="16" s="1"/>
  <c r="C47" i="16" l="1"/>
  <c r="D47" i="16" s="1"/>
  <c r="E47" i="16" s="1"/>
  <c r="F47" i="16" s="1"/>
  <c r="G47" i="16" s="1"/>
  <c r="H47" i="16" s="1"/>
  <c r="K47" i="16" s="1"/>
  <c r="I47" i="16" l="1"/>
  <c r="J47" i="16" s="1"/>
  <c r="L47" i="16" s="1"/>
</calcChain>
</file>

<file path=xl/sharedStrings.xml><?xml version="1.0" encoding="utf-8"?>
<sst xmlns="http://schemas.openxmlformats.org/spreadsheetml/2006/main" count="410" uniqueCount="284">
  <si>
    <t xml:space="preserve">PUGET SOUND ENERGY </t>
  </si>
  <si>
    <t>LINE</t>
  </si>
  <si>
    <t>DESCRIPTION</t>
  </si>
  <si>
    <t>NO.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</si>
  <si>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</si>
  <si>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</si>
  <si>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</si>
  <si>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</si>
  <si>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</si>
  <si>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</si>
  <si>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</si>
  <si>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</si>
  <si>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</si>
  <si>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</si>
  <si>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</si>
  <si>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</si>
  <si>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</si>
  <si>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</si>
  <si>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</si>
  <si>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</si>
  <si>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</si>
  <si>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</si>
  <si>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</si>
  <si>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</si>
  <si>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</si>
  <si>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</si>
  <si>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</si>
  <si>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</si>
  <si>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</si>
  <si>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</si>
  <si>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</si>
  <si>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</si>
  <si>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</si>
  <si>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</si>
  <si>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</si>
  <si>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</si>
  <si>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</si>
  <si>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</si>
  <si>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</si>
  <si>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</si>
  <si>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</si>
  <si>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</si>
  <si>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</si>
  <si>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</si>
  <si>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RESTATED</t>
  </si>
  <si>
    <t>RESULTS OF</t>
  </si>
  <si>
    <t>OPERATIONS</t>
  </si>
  <si>
    <t>SEF-4E p 4 of 7</t>
  </si>
  <si>
    <t>REMOVE</t>
  </si>
  <si>
    <t>RATE BASE</t>
  </si>
  <si>
    <t>ADJ 6.18ER</t>
  </si>
  <si>
    <t>AMA TO EOP</t>
  </si>
  <si>
    <t>SEF-4E p 3 of 7</t>
  </si>
  <si>
    <t>ADJ 6.19ER</t>
  </si>
  <si>
    <t xml:space="preserve">SALES TO CUSTOMERS FOR PCA </t>
  </si>
  <si>
    <t>12 Months Ended Dec 2018</t>
  </si>
  <si>
    <t>Month</t>
  </si>
  <si>
    <t>Actual Retail KWhs</t>
  </si>
  <si>
    <t>TY A-1 Rev in I/S Line 2 Sales to Cust</t>
  </si>
  <si>
    <t>a</t>
  </si>
  <si>
    <t>b</t>
  </si>
  <si>
    <t>c</t>
  </si>
  <si>
    <t>Total retail sales</t>
  </si>
  <si>
    <t>ck</t>
  </si>
  <si>
    <t>Taxes and Other than FIT</t>
  </si>
  <si>
    <t>12 ME December 2018</t>
  </si>
  <si>
    <t>40810005  Montana Electric Producer Taxes</t>
  </si>
  <si>
    <t>557 Payroll Taxes</t>
  </si>
  <si>
    <t>O&amp;M Payroll Taxes</t>
  </si>
  <si>
    <t>Sales to Customer</t>
  </si>
  <si>
    <t xml:space="preserve">     Total State Utility Taxable</t>
  </si>
  <si>
    <t>STATE UTILITY TAX  %</t>
  </si>
  <si>
    <t xml:space="preserve">STATE UTILITY TAX </t>
  </si>
  <si>
    <t>Total Taxes Other than FIT</t>
  </si>
  <si>
    <t>e</t>
  </si>
  <si>
    <t>Total</t>
  </si>
  <si>
    <t>Description</t>
  </si>
  <si>
    <t>Exhibit A-1 Power Cost Baseline Rate</t>
  </si>
  <si>
    <t>Exhibit H to Settlement Agreement</t>
  </si>
  <si>
    <t>2017 GRC (Per Settlement)</t>
  </si>
  <si>
    <t>Row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</si>
  <si>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</si>
  <si>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</si>
  <si>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</si>
  <si>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</si>
  <si>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</si>
  <si>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</si>
  <si>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</si>
  <si>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</si>
  <si>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</si>
  <si>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</si>
  <si>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</si>
  <si>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</si>
  <si>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</si>
  <si>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</si>
  <si>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</si>
  <si>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</si>
  <si>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</si>
  <si>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</si>
  <si>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</si>
  <si>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</si>
  <si>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</si>
  <si>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</si>
  <si>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</si>
  <si>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</si>
  <si>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</si>
  <si>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</si>
  <si>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</si>
  <si>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</si>
  <si>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</si>
  <si>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</si>
  <si>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</si>
  <si>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</si>
  <si>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</si>
  <si>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</si>
  <si>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</si>
  <si>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</si>
  <si>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</si>
  <si>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</si>
  <si>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</si>
  <si>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</si>
  <si>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</si>
  <si>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</si>
  <si>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</si>
  <si>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</si>
  <si>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</si>
  <si>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</si>
  <si>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</si>
  <si>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</si>
  <si>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</si>
  <si>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</si>
  <si>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</si>
  <si>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</si>
  <si>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</si>
  <si>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</si>
  <si>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</si>
  <si>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</si>
  <si>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</si>
  <si>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</si>
  <si>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(1) - Amortization is picked up in Regulatory Assets and Liabilities Adjustment and White River Adjustment.</t>
  </si>
  <si>
    <t>Rate Year</t>
  </si>
  <si>
    <t>PF'd</t>
  </si>
  <si>
    <t>NON POWER COST RELATED REG ASSETS &amp; LIAB</t>
  </si>
  <si>
    <t>(Pre-PF)</t>
  </si>
  <si>
    <t>WHITE RIVER PLANT COSTS</t>
  </si>
  <si>
    <t>CARRYING CHARGES ON LSR PREPAID TRANSM</t>
  </si>
  <si>
    <t>MINT FARM DEFFRED - UE-090704 (ends Mar 2025)</t>
  </si>
  <si>
    <t>FERNDALE PLANT DEFERRAL (ends Oct 2019)</t>
  </si>
  <si>
    <t>SNOQUALMIE UPGRADE PLANT DEFERRAL (ends Oct 2019)</t>
  </si>
  <si>
    <t>BAKER UPGRADE PLANT DEFERRAL (ends Oct 2019)</t>
  </si>
  <si>
    <t>TREASURY GRANT DEFERRAL SNOQ &amp; BAKER (ends Dec 2018)</t>
  </si>
  <si>
    <t>ELECTRON UNRECOVERED COSTS</t>
  </si>
  <si>
    <t>TOTAL NON-POWER COST RELATED</t>
  </si>
  <si>
    <t>Check=&gt;</t>
  </si>
  <si>
    <t>DECEMBER 31, 2018</t>
  </si>
  <si>
    <t>2019 GENERAL RATE CASE</t>
  </si>
  <si>
    <t xml:space="preserve">     45600080  Othr Elect Rev - Sale of Non-Core Gas</t>
  </si>
  <si>
    <t xml:space="preserve">     45600081  Othr Elect Rev - Cost Non-Core Gas sold</t>
  </si>
  <si>
    <t>Purchases and Sales of Non-Core Gas Included in Other Operating Revenue</t>
  </si>
  <si>
    <t>d</t>
  </si>
  <si>
    <t>f = d x e</t>
  </si>
  <si>
    <t>Weather Normalization</t>
  </si>
  <si>
    <t>Weather Normalized Loads</t>
  </si>
  <si>
    <t>ATTRITION</t>
  </si>
  <si>
    <t>BASE</t>
  </si>
  <si>
    <t>As Adjusted for Tax Reform and Filed in UE-180282</t>
  </si>
  <si>
    <t>MUNICIPAL ADDITIONS</t>
  </si>
  <si>
    <t>GAS COSTS:</t>
  </si>
  <si>
    <t>PURCHASED GAS</t>
  </si>
  <si>
    <t xml:space="preserve">  ACCUMULATED DEPRECIATION</t>
  </si>
  <si>
    <t xml:space="preserve">  ACCUMULATED DEFERRED FIT - LIBERALIZED</t>
  </si>
  <si>
    <t xml:space="preserve">  DEPRECIATION AND OTHER LIABILITIES</t>
  </si>
  <si>
    <t>SEF-4G p 2 of 4</t>
  </si>
  <si>
    <t>ADJ 7.07ER</t>
  </si>
  <si>
    <t>COLSTRIP</t>
  </si>
  <si>
    <t>ADJ 7.03ER</t>
  </si>
  <si>
    <t>WH SOLAR</t>
  </si>
  <si>
    <t>AMA V EOP</t>
  </si>
  <si>
    <t>DECOUPLING</t>
  </si>
  <si>
    <t>DEFERRALS</t>
  </si>
  <si>
    <t>ADJUSTMENTS</t>
  </si>
  <si>
    <t xml:space="preserve">INCLUDE </t>
  </si>
  <si>
    <t>PROFORMA</t>
  </si>
  <si>
    <t>RESTATING</t>
  </si>
  <si>
    <t xml:space="preserve">REMOVE </t>
  </si>
  <si>
    <t>POWER</t>
  </si>
  <si>
    <t>COSTS</t>
  </si>
  <si>
    <t>EXH SEF-9</t>
  </si>
  <si>
    <t>PAGE</t>
  </si>
  <si>
    <t>2 OF 3</t>
  </si>
  <si>
    <t>SEF-9 p 2 of 3</t>
  </si>
  <si>
    <t>PGA</t>
  </si>
  <si>
    <t>MECHANISM</t>
  </si>
  <si>
    <t>ADJ 6.18GR</t>
  </si>
  <si>
    <t>ADJ 6.19GR</t>
  </si>
  <si>
    <t>SEF-6E p 2 of 29</t>
  </si>
  <si>
    <t>ADJ 6.01EP</t>
  </si>
  <si>
    <t>ADJ 6.01GP</t>
  </si>
  <si>
    <t>SEF-6G p 2 of 29</t>
  </si>
  <si>
    <t>DETERMINATION OF ELECTRIC BASE AMOUNTS FOR ATTRITION</t>
  </si>
  <si>
    <t>DETERMINATION OF GAS BASE AMOUNTS FOR ATTRITION</t>
  </si>
  <si>
    <t>f</t>
  </si>
  <si>
    <t>g</t>
  </si>
  <si>
    <t>h</t>
  </si>
  <si>
    <t>Ledger Sign</t>
  </si>
  <si>
    <t>EXH. SEF-9 page 1 of 2</t>
  </si>
  <si>
    <t>EXH. SEF-9 page 2 of 2</t>
  </si>
  <si>
    <t>JAP-4 p 1</t>
  </si>
  <si>
    <t>Increase(Decrease) Income</t>
  </si>
  <si>
    <t>Increase(Decrease) FIT @</t>
  </si>
  <si>
    <t>Increase(Decrease) Taxes Other</t>
  </si>
  <si>
    <t>State Utility Tax @</t>
  </si>
  <si>
    <t>Increase(Decrease) Expenses</t>
  </si>
  <si>
    <t>Annual Filing Fee @</t>
  </si>
  <si>
    <t>Uncollectibles @</t>
  </si>
  <si>
    <t>INCREASE (DECREASE) SALES TO CUSTOMERS</t>
  </si>
  <si>
    <t>Firm Resale</t>
  </si>
  <si>
    <t>Schedule 40</t>
  </si>
  <si>
    <t>Schedule 43</t>
  </si>
  <si>
    <t>Schedule 31</t>
  </si>
  <si>
    <t>Schedule 29</t>
  </si>
  <si>
    <t>Schedule 26</t>
  </si>
  <si>
    <t>Schedule 25</t>
  </si>
  <si>
    <t>Schedule 24</t>
  </si>
  <si>
    <t>Schedule 7</t>
  </si>
  <si>
    <t>REVENUE ADJUSTMENT:</t>
  </si>
  <si>
    <t>CHANGE</t>
  </si>
  <si>
    <t>GPI KWH</t>
  </si>
  <si>
    <t>ADJ FOR LOSSES</t>
  </si>
  <si>
    <t>KWH</t>
  </si>
  <si>
    <t>TEMP ADJ</t>
  </si>
  <si>
    <t>ACTUAL</t>
  </si>
  <si>
    <t>AS FILED IN 2018 COMMISSION BASIS REPORT (Docket UE-190211)</t>
  </si>
  <si>
    <t>FOR THE TWELVE MONTHS ENDED DECEMBER, 2018</t>
  </si>
  <si>
    <t xml:space="preserve">TEMPERATURE NORMALIZATION </t>
  </si>
  <si>
    <t>PUGET SOUND ENERGY-ELECTRIC SYSTEM</t>
  </si>
  <si>
    <t>ADJ 6.20EP</t>
  </si>
  <si>
    <t>ADJ 6.21EP</t>
  </si>
  <si>
    <t>ADJ 6.26EP</t>
  </si>
  <si>
    <t>ADJ 7.05EP</t>
  </si>
  <si>
    <t>ADJ 7.06EP</t>
  </si>
  <si>
    <t>DEF G/L</t>
  </si>
  <si>
    <t>ENV REM</t>
  </si>
  <si>
    <t>REMOVE UNPRO-</t>
  </si>
  <si>
    <t>STORM</t>
  </si>
  <si>
    <t>REG ASSET/LIAB</t>
  </si>
  <si>
    <t>TECTED DFIT</t>
  </si>
  <si>
    <t>ADJUSTMENT</t>
  </si>
  <si>
    <t>SEF-6E p 20 of 29</t>
  </si>
  <si>
    <t>SEF-6E p 21 of 29</t>
  </si>
  <si>
    <t>SEF-6E p 26 of 29</t>
  </si>
  <si>
    <t>SEF-7E p 6 of 11</t>
  </si>
  <si>
    <t>SEF-7E p 7 of 11</t>
  </si>
  <si>
    <t>i</t>
  </si>
  <si>
    <t>j</t>
  </si>
  <si>
    <t>k</t>
  </si>
  <si>
    <t>Check==&gt;</t>
  </si>
  <si>
    <t>see MRM-1T wp</t>
  </si>
  <si>
    <t>ADJ 6.20GP</t>
  </si>
  <si>
    <t>ADJ 6.21GP</t>
  </si>
  <si>
    <t>ADJ 6.26GP</t>
  </si>
  <si>
    <t>l</t>
  </si>
  <si>
    <t>m</t>
  </si>
  <si>
    <t>ADJ 6.22EP</t>
  </si>
  <si>
    <t>ADJ 6.24EP</t>
  </si>
  <si>
    <t>SEF-6E p 24 of 29</t>
  </si>
  <si>
    <t>SEF-6E p 22 of 29</t>
  </si>
  <si>
    <t>AMI DEFERRAL</t>
  </si>
  <si>
    <t>GTZ DEFERRAL</t>
  </si>
  <si>
    <t>AMI</t>
  </si>
  <si>
    <t>SEF-6G p 20 of 29</t>
  </si>
  <si>
    <t>SEF-6G p 21 of 29</t>
  </si>
  <si>
    <t>SEF-6G p 22 of 29</t>
  </si>
  <si>
    <t>SEF-6G p 24 of 29</t>
  </si>
  <si>
    <t>SEF-6G p 26 of 29</t>
  </si>
  <si>
    <t>ADJ 6.22GP</t>
  </si>
  <si>
    <t>ADJ 6.24GP</t>
  </si>
  <si>
    <t>GTZ</t>
  </si>
  <si>
    <t>ADJ 7.12EP</t>
  </si>
  <si>
    <t>SHUFFLETON</t>
  </si>
  <si>
    <t>n</t>
  </si>
  <si>
    <t>o</t>
  </si>
  <si>
    <t>p</t>
  </si>
  <si>
    <r>
      <t>BLR in Effect (</t>
    </r>
    <r>
      <rPr>
        <b/>
        <sz val="8"/>
        <color theme="1"/>
        <rFont val="Arial"/>
        <family val="2"/>
      </rPr>
      <t>Grossed up for RSI</t>
    </r>
    <r>
      <rPr>
        <b/>
        <sz val="10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</si>
</sst>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[Red]_(&quot;$&quot;* \(#,##0\);_(&quot;$&quot;* &quot;-&quot;_);_(@_)"/>
    <numFmt numFmtId="166" formatCode="0.000000"/>
    <numFmt numFmtId="167" formatCode="0.0000%"/>
    <numFmt numFmtId="168" formatCode="* _(#,##0_);* \(#,##0\);_(* &quot;-&quot;??_);_(@_)"/>
    <numFmt numFmtId="169" formatCode="&quot;$&quot;#,##0.000_);[Red]\(&quot;$&quot;#,##0.000\)"/>
    <numFmt numFmtId="170" formatCode="0.00000%"/>
    <numFmt numFmtId="171" formatCode="_(* #,##0_);_(* \(#,##0\);_(* &quot;-&quot;??_);_(@_)"/>
    <numFmt numFmtId="172" formatCode="0.000000%"/>
    <numFmt numFmtId="173" formatCode="_(&quot;$&quot;* #,##0_);_(&quot;$&quot;* \(#,##0\);_(&quot;$&quot;* &quot;-&quot;??_);_(@_)"/>
    <numFmt numFmtId="174" formatCode="&quot;Adj.&quot;\ 0.00"/>
    <numFmt numFmtId="175" formatCode="_(&quot;$&quot;* #,##0.000_);_(&quot;$&quot;* \(#,##0.000\);_(&quot;$&quot;* &quot;-&quot;??_);_(@_)"/>
    <numFmt numFmtId="176" formatCode="_(* #,##0.0000000_);_(* \(#,##0.0000000\);_(* &quot;-&quot;??_);_(@_)"/>
    <numFmt numFmtId="177" formatCode="0.00000"/>
    <numFmt numFmtId="178" formatCode="0.000%"/>
    <numFmt numFmtId="179" formatCode="0.0000000"/>
    <numFmt numFmtId="180" formatCode="0.0%"/>
  </numFmts>
  <fonts count="2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Helv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 val="singleAccounting"/>
      <sz val="11"/>
      <color theme="1"/>
      <name val="Arial"/>
      <family val="2"/>
    </font>
    <font>
      <u/>
      <sz val="10"/>
      <color theme="1"/>
      <name val="Times New Roman"/>
      <family val="1"/>
    </font>
    <font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Helv"/>
    </font>
    <font>
      <b/>
      <sz val="10"/>
      <color theme="1"/>
      <name val="Helv"/>
    </font>
    <font>
      <b/>
      <u/>
      <sz val="10"/>
      <color theme="1"/>
      <name val="Helv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0">
    <xf numFmtId="0" fontId="0" fillId="0" borderId="0" xfId="0"/>
    <xf numFmtId="43" fontId="4" fillId="0" borderId="0" xfId="0" applyNumberFormat="1" applyFont="1" applyFill="1" applyAlignment="1"/>
    <xf numFmtId="49" fontId="4" fillId="0" borderId="0" xfId="0" applyNumberFormat="1" applyFont="1" applyFill="1" applyBorder="1" applyAlignment="1">
      <alignment horizontal="left"/>
    </xf>
    <xf numFmtId="44" fontId="4" fillId="0" borderId="0" xfId="0" applyNumberFormat="1" applyFont="1" applyFill="1" applyBorder="1"/>
    <xf numFmtId="43" fontId="4" fillId="0" borderId="0" xfId="0" applyNumberFormat="1" applyFont="1" applyFill="1" applyBorder="1"/>
    <xf numFmtId="42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42" fontId="2" fillId="0" borderId="4" xfId="0" applyNumberFormat="1" applyFont="1" applyFill="1" applyBorder="1" applyAlignment="1" applyProtection="1"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44" fontId="4" fillId="0" borderId="4" xfId="0" applyNumberFormat="1" applyFont="1" applyFill="1" applyBorder="1"/>
    <xf numFmtId="0" fontId="1" fillId="0" borderId="0" xfId="0" applyFont="1" applyFill="1"/>
    <xf numFmtId="0" fontId="6" fillId="0" borderId="0" xfId="0" applyFont="1" applyFill="1"/>
    <xf numFmtId="0" fontId="3" fillId="0" borderId="3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 horizontal="centerContinuous"/>
    </xf>
    <xf numFmtId="15" fontId="1" fillId="0" borderId="0" xfId="0" quotePrefix="1" applyNumberFormat="1" applyFont="1" applyFill="1"/>
    <xf numFmtId="0" fontId="3" fillId="0" borderId="0" xfId="0" applyFont="1" applyFill="1"/>
    <xf numFmtId="0" fontId="6" fillId="0" borderId="1" xfId="0" applyFont="1" applyFill="1" applyBorder="1"/>
    <xf numFmtId="0" fontId="0" fillId="0" borderId="0" xfId="0" applyFont="1" applyFill="1"/>
    <xf numFmtId="171" fontId="0" fillId="0" borderId="0" xfId="1" applyNumberFormat="1" applyFont="1" applyFill="1"/>
    <xf numFmtId="0" fontId="2" fillId="0" borderId="0" xfId="0" applyFont="1" applyFill="1"/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/>
    <xf numFmtId="0" fontId="0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/>
    <xf numFmtId="166" fontId="8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/>
    <xf numFmtId="0" fontId="12" fillId="0" borderId="0" xfId="0" applyNumberFormat="1" applyFont="1" applyFill="1" applyAlignment="1">
      <alignment horizontal="left"/>
    </xf>
    <xf numFmtId="41" fontId="0" fillId="0" borderId="0" xfId="0" applyNumberFormat="1" applyFont="1" applyFill="1" applyAlignment="1"/>
    <xf numFmtId="174" fontId="1" fillId="0" borderId="0" xfId="0" applyNumberFormat="1" applyFont="1" applyFill="1" applyBorder="1" applyAlignment="1"/>
    <xf numFmtId="0" fontId="13" fillId="0" borderId="0" xfId="0" applyNumberFormat="1" applyFont="1" applyFill="1" applyAlignment="1">
      <alignment horizontal="center"/>
    </xf>
    <xf numFmtId="0" fontId="13" fillId="0" borderId="0" xfId="0" quotePrefix="1" applyNumberFormat="1" applyFont="1" applyFill="1" applyAlignment="1">
      <alignment horizontal="left"/>
    </xf>
    <xf numFmtId="0" fontId="14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Alignment="1"/>
    <xf numFmtId="0" fontId="13" fillId="0" borderId="0" xfId="0" applyNumberFormat="1" applyFont="1" applyFill="1" applyAlignment="1">
      <alignment horizontal="left"/>
    </xf>
    <xf numFmtId="173" fontId="13" fillId="0" borderId="0" xfId="0" applyNumberFormat="1" applyFont="1" applyFill="1" applyBorder="1" applyAlignment="1"/>
    <xf numFmtId="0" fontId="13" fillId="0" borderId="0" xfId="0" applyNumberFormat="1" applyFont="1" applyFill="1" applyAlignment="1"/>
    <xf numFmtId="171" fontId="13" fillId="0" borderId="0" xfId="0" applyNumberFormat="1" applyFont="1" applyFill="1" applyAlignment="1">
      <alignment horizontal="right"/>
    </xf>
    <xf numFmtId="171" fontId="13" fillId="0" borderId="0" xfId="0" applyNumberFormat="1" applyFont="1" applyFill="1" applyBorder="1" applyAlignment="1">
      <alignment horizontal="right"/>
    </xf>
    <xf numFmtId="171" fontId="13" fillId="0" borderId="0" xfId="0" applyNumberFormat="1" applyFont="1" applyFill="1" applyAlignment="1"/>
    <xf numFmtId="43" fontId="13" fillId="0" borderId="0" xfId="0" applyNumberFormat="1" applyFont="1" applyFill="1" applyAlignment="1"/>
    <xf numFmtId="173" fontId="13" fillId="0" borderId="2" xfId="0" applyNumberFormat="1" applyFont="1" applyFill="1" applyBorder="1" applyAlignment="1">
      <alignment horizontal="right"/>
    </xf>
    <xf numFmtId="10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right"/>
    </xf>
    <xf numFmtId="17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left"/>
    </xf>
    <xf numFmtId="0" fontId="13" fillId="0" borderId="0" xfId="0" applyNumberFormat="1" applyFont="1" applyFill="1" applyBorder="1" applyAlignment="1">
      <alignment horizontal="center"/>
    </xf>
    <xf numFmtId="171" fontId="13" fillId="0" borderId="0" xfId="0" applyNumberFormat="1" applyFont="1" applyFill="1" applyBorder="1" applyAlignment="1">
      <alignment horizontal="center"/>
    </xf>
    <xf numFmtId="175" fontId="13" fillId="0" borderId="0" xfId="0" applyNumberFormat="1" applyFont="1" applyFill="1" applyBorder="1" applyAlignment="1"/>
    <xf numFmtId="171" fontId="13" fillId="0" borderId="0" xfId="0" applyNumberFormat="1" applyFont="1" applyFill="1" applyAlignment="1">
      <alignment horizontal="center"/>
    </xf>
    <xf numFmtId="173" fontId="13" fillId="0" borderId="0" xfId="0" applyNumberFormat="1" applyFont="1" applyFill="1" applyAlignment="1"/>
    <xf numFmtId="171" fontId="0" fillId="0" borderId="0" xfId="0" applyNumberFormat="1" applyFont="1" applyFill="1" applyAlignment="1"/>
    <xf numFmtId="171" fontId="13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left" indent="1"/>
    </xf>
    <xf numFmtId="0" fontId="13" fillId="0" borderId="0" xfId="0" applyNumberFormat="1" applyFont="1" applyFill="1" applyAlignment="1">
      <alignment horizontal="center" vertical="top"/>
    </xf>
    <xf numFmtId="0" fontId="13" fillId="0" borderId="0" xfId="0" applyNumberFormat="1" applyFont="1" applyFill="1" applyAlignment="1">
      <alignment vertical="top"/>
    </xf>
    <xf numFmtId="0" fontId="13" fillId="0" borderId="0" xfId="0" quotePrefix="1" applyNumberFormat="1" applyFont="1" applyFill="1" applyBorder="1" applyAlignment="1">
      <alignment horizontal="left"/>
    </xf>
    <xf numFmtId="0" fontId="16" fillId="0" borderId="0" xfId="0" applyNumberFormat="1" applyFont="1" applyFill="1" applyAlignment="1"/>
    <xf numFmtId="0" fontId="13" fillId="0" borderId="0" xfId="0" applyNumberFormat="1" applyFont="1" applyFill="1" applyAlignment="1">
      <alignment horizontal="left" vertical="center" indent="1"/>
    </xf>
    <xf numFmtId="173" fontId="13" fillId="0" borderId="2" xfId="0" applyNumberFormat="1" applyFont="1" applyFill="1" applyBorder="1" applyAlignment="1"/>
    <xf numFmtId="175" fontId="13" fillId="0" borderId="2" xfId="0" applyNumberFormat="1" applyFont="1" applyFill="1" applyBorder="1" applyAlignment="1"/>
    <xf numFmtId="176" fontId="13" fillId="0" borderId="0" xfId="0" applyNumberFormat="1" applyFont="1" applyFill="1" applyAlignment="1">
      <alignment horizontal="right"/>
    </xf>
    <xf numFmtId="176" fontId="13" fillId="0" borderId="0" xfId="0" applyNumberFormat="1" applyFont="1" applyFill="1" applyAlignment="1"/>
    <xf numFmtId="171" fontId="13" fillId="0" borderId="0" xfId="0" applyNumberFormat="1" applyFont="1" applyFill="1" applyBorder="1"/>
    <xf numFmtId="0" fontId="13" fillId="0" borderId="0" xfId="0" applyNumberFormat="1" applyFont="1" applyFill="1" applyAlignment="1">
      <alignment horizontal="center" wrapText="1"/>
    </xf>
    <xf numFmtId="173" fontId="15" fillId="0" borderId="0" xfId="0" applyNumberFormat="1" applyFont="1" applyFill="1" applyAlignment="1"/>
    <xf numFmtId="166" fontId="17" fillId="0" borderId="0" xfId="0" applyNumberFormat="1" applyFont="1" applyFill="1" applyBorder="1" applyAlignment="1"/>
    <xf numFmtId="166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"/>
    </xf>
    <xf numFmtId="166" fontId="19" fillId="0" borderId="11" xfId="0" applyNumberFormat="1" applyFont="1" applyFill="1" applyBorder="1" applyAlignment="1">
      <alignment horizontal="left"/>
    </xf>
    <xf numFmtId="0" fontId="18" fillId="0" borderId="12" xfId="0" applyNumberFormat="1" applyFont="1" applyFill="1" applyBorder="1" applyAlignment="1"/>
    <xf numFmtId="0" fontId="19" fillId="0" borderId="12" xfId="0" applyNumberFormat="1" applyFont="1" applyFill="1" applyBorder="1" applyAlignment="1">
      <alignment horizontal="center"/>
    </xf>
    <xf numFmtId="177" fontId="19" fillId="0" borderId="13" xfId="0" applyNumberFormat="1" applyFont="1" applyFill="1" applyBorder="1" applyAlignment="1"/>
    <xf numFmtId="166" fontId="18" fillId="0" borderId="14" xfId="0" applyNumberFormat="1" applyFont="1" applyFill="1" applyBorder="1" applyAlignment="1">
      <alignment horizontal="left"/>
    </xf>
    <xf numFmtId="0" fontId="18" fillId="0" borderId="2" xfId="0" applyNumberFormat="1" applyFont="1" applyFill="1" applyBorder="1" applyAlignment="1">
      <alignment horizontal="center"/>
    </xf>
    <xf numFmtId="41" fontId="18" fillId="0" borderId="2" xfId="0" applyNumberFormat="1" applyFont="1" applyFill="1" applyBorder="1" applyAlignment="1"/>
    <xf numFmtId="171" fontId="18" fillId="0" borderId="15" xfId="0" applyNumberFormat="1" applyFont="1" applyFill="1" applyBorder="1" applyAlignment="1"/>
    <xf numFmtId="166" fontId="18" fillId="0" borderId="9" xfId="0" applyNumberFormat="1" applyFont="1" applyFill="1" applyBorder="1" applyAlignment="1">
      <alignment horizontal="left"/>
    </xf>
    <xf numFmtId="41" fontId="18" fillId="0" borderId="0" xfId="0" applyNumberFormat="1" applyFont="1" applyFill="1" applyBorder="1" applyAlignment="1"/>
    <xf numFmtId="41" fontId="18" fillId="0" borderId="16" xfId="0" applyNumberFormat="1" applyFont="1" applyFill="1" applyBorder="1" applyAlignment="1"/>
    <xf numFmtId="0" fontId="18" fillId="0" borderId="9" xfId="0" applyNumberFormat="1" applyFont="1" applyFill="1" applyBorder="1" applyAlignment="1"/>
    <xf numFmtId="41" fontId="18" fillId="0" borderId="1" xfId="0" applyNumberFormat="1" applyFont="1" applyFill="1" applyBorder="1" applyAlignment="1"/>
    <xf numFmtId="41" fontId="18" fillId="0" borderId="17" xfId="0" applyNumberFormat="1" applyFont="1" applyFill="1" applyBorder="1" applyAlignment="1"/>
    <xf numFmtId="0" fontId="18" fillId="0" borderId="0" xfId="0" applyNumberFormat="1" applyFont="1" applyFill="1" applyBorder="1" applyAlignment="1"/>
    <xf numFmtId="0" fontId="18" fillId="0" borderId="18" xfId="0" applyNumberFormat="1" applyFont="1" applyFill="1" applyBorder="1" applyAlignment="1"/>
    <xf numFmtId="0" fontId="18" fillId="0" borderId="19" xfId="0" applyNumberFormat="1" applyFont="1" applyFill="1" applyBorder="1" applyAlignment="1">
      <alignment horizontal="right"/>
    </xf>
    <xf numFmtId="41" fontId="18" fillId="0" borderId="19" xfId="0" applyNumberFormat="1" applyFont="1" applyFill="1" applyBorder="1" applyAlignment="1"/>
    <xf numFmtId="10" fontId="18" fillId="0" borderId="20" xfId="0" applyNumberFormat="1" applyFont="1" applyFill="1" applyBorder="1" applyAlignment="1"/>
    <xf numFmtId="0" fontId="5" fillId="0" borderId="0" xfId="0" applyNumberFormat="1" applyFont="1" applyFill="1" applyAlignment="1"/>
    <xf numFmtId="43" fontId="5" fillId="0" borderId="0" xfId="0" applyNumberFormat="1" applyFont="1" applyFill="1" applyAlignment="1"/>
    <xf numFmtId="0" fontId="4" fillId="0" borderId="0" xfId="0" applyNumberFormat="1" applyFont="1" applyFill="1" applyAlignment="1"/>
    <xf numFmtId="43" fontId="20" fillId="0" borderId="0" xfId="0" applyNumberFormat="1" applyFont="1" applyFill="1" applyAlignment="1"/>
    <xf numFmtId="171" fontId="4" fillId="0" borderId="0" xfId="0" applyNumberFormat="1" applyFont="1" applyFill="1" applyAlignment="1"/>
    <xf numFmtId="6" fontId="4" fillId="0" borderId="0" xfId="0" applyNumberFormat="1" applyFont="1" applyFill="1" applyAlignment="1"/>
    <xf numFmtId="6" fontId="4" fillId="0" borderId="1" xfId="0" applyNumberFormat="1" applyFont="1" applyFill="1" applyBorder="1" applyAlignment="1"/>
    <xf numFmtId="42" fontId="4" fillId="0" borderId="0" xfId="0" applyNumberFormat="1" applyFont="1" applyFill="1" applyAlignment="1"/>
    <xf numFmtId="6" fontId="4" fillId="0" borderId="2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172" fontId="4" fillId="0" borderId="1" xfId="0" applyNumberFormat="1" applyFont="1" applyFill="1" applyBorder="1" applyAlignment="1"/>
    <xf numFmtId="171" fontId="4" fillId="0" borderId="0" xfId="0" applyNumberFormat="1" applyFont="1" applyFill="1" applyBorder="1" applyAlignment="1"/>
    <xf numFmtId="171" fontId="5" fillId="0" borderId="4" xfId="0" applyNumberFormat="1" applyFont="1" applyFill="1" applyBorder="1" applyAlignment="1"/>
    <xf numFmtId="0" fontId="9" fillId="0" borderId="0" xfId="0" applyFont="1" applyFill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Protection="1">
      <protection locked="0"/>
    </xf>
    <xf numFmtId="0" fontId="9" fillId="0" borderId="0" xfId="0" applyFont="1" applyFill="1" applyBorder="1"/>
    <xf numFmtId="0" fontId="12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/>
    <xf numFmtId="0" fontId="9" fillId="0" borderId="1" xfId="0" applyFont="1" applyFill="1" applyBorder="1"/>
    <xf numFmtId="0" fontId="12" fillId="0" borderId="0" xfId="0" applyFont="1" applyFill="1" applyBorder="1" applyAlignment="1">
      <alignment horizontal="centerContinuous" vertical="top"/>
    </xf>
    <xf numFmtId="0" fontId="9" fillId="0" borderId="0" xfId="0" applyFont="1" applyFill="1" applyBorder="1" applyAlignment="1">
      <alignment horizontal="centerContinuous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Alignment="1">
      <alignment horizontal="center"/>
    </xf>
    <xf numFmtId="0" fontId="21" fillId="0" borderId="0" xfId="0" applyFont="1" applyFill="1" applyBorder="1"/>
    <xf numFmtId="0" fontId="2" fillId="0" borderId="0" xfId="0" applyFont="1" applyFill="1" applyBorder="1"/>
    <xf numFmtId="0" fontId="18" fillId="0" borderId="0" xfId="0" applyFont="1" applyFill="1" applyAlignment="1" applyProtection="1">
      <alignment horizontal="center"/>
      <protection locked="0"/>
    </xf>
    <xf numFmtId="0" fontId="18" fillId="0" borderId="0" xfId="0" applyFont="1" applyFill="1"/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37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quotePrefix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37" fontId="23" fillId="0" borderId="0" xfId="0" applyNumberFormat="1" applyFont="1" applyFill="1" applyBorder="1" applyAlignment="1">
      <alignment horizontal="center"/>
    </xf>
    <xf numFmtId="180" fontId="24" fillId="0" borderId="0" xfId="0" applyNumberFormat="1" applyFont="1" applyFill="1" applyAlignment="1">
      <alignment horizontal="right"/>
    </xf>
    <xf numFmtId="180" fontId="24" fillId="0" borderId="0" xfId="0" applyNumberFormat="1" applyFont="1" applyFill="1" applyAlignment="1">
      <alignment horizontal="center"/>
    </xf>
    <xf numFmtId="180" fontId="24" fillId="0" borderId="0" xfId="0" applyNumberFormat="1" applyFont="1" applyFill="1" applyAlignment="1">
      <alignment horizontal="left"/>
    </xf>
    <xf numFmtId="0" fontId="18" fillId="0" borderId="0" xfId="0" quotePrefix="1" applyFont="1" applyFill="1" applyAlignment="1">
      <alignment horizontal="center"/>
    </xf>
    <xf numFmtId="17" fontId="9" fillId="0" borderId="0" xfId="0" applyNumberFormat="1" applyFont="1" applyFill="1" applyBorder="1"/>
    <xf numFmtId="37" fontId="9" fillId="0" borderId="0" xfId="0" applyNumberFormat="1" applyFont="1" applyFill="1" applyBorder="1"/>
    <xf numFmtId="17" fontId="9" fillId="0" borderId="0" xfId="0" applyNumberFormat="1" applyFont="1" applyFill="1"/>
    <xf numFmtId="37" fontId="9" fillId="0" borderId="0" xfId="0" applyNumberFormat="1" applyFont="1" applyFill="1" applyAlignment="1">
      <alignment horizontal="right"/>
    </xf>
    <xf numFmtId="171" fontId="9" fillId="0" borderId="0" xfId="0" applyNumberFormat="1" applyFont="1" applyFill="1" applyAlignment="1">
      <alignment horizontal="right"/>
    </xf>
    <xf numFmtId="171" fontId="12" fillId="0" borderId="0" xfId="0" applyNumberFormat="1" applyFont="1" applyFill="1" applyBorder="1"/>
    <xf numFmtId="17" fontId="9" fillId="0" borderId="0" xfId="0" applyNumberFormat="1" applyFont="1" applyFill="1" applyAlignment="1">
      <alignment horizontal="center"/>
    </xf>
    <xf numFmtId="17" fontId="9" fillId="0" borderId="0" xfId="0" applyNumberFormat="1" applyFont="1" applyFill="1" applyBorder="1" applyAlignment="1">
      <alignment horizontal="center"/>
    </xf>
    <xf numFmtId="37" fontId="9" fillId="0" borderId="1" xfId="0" applyNumberFormat="1" applyFont="1" applyFill="1" applyBorder="1"/>
    <xf numFmtId="37" fontId="9" fillId="0" borderId="25" xfId="0" applyNumberFormat="1" applyFont="1" applyFill="1" applyBorder="1"/>
    <xf numFmtId="37" fontId="12" fillId="0" borderId="25" xfId="0" applyNumberFormat="1" applyFont="1" applyFill="1" applyBorder="1"/>
    <xf numFmtId="171" fontId="9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7" fontId="9" fillId="0" borderId="0" xfId="0" applyNumberFormat="1" applyFont="1" applyFill="1"/>
    <xf numFmtId="42" fontId="9" fillId="0" borderId="0" xfId="0" applyNumberFormat="1" applyFont="1" applyFill="1"/>
    <xf numFmtId="9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0" xfId="0" quotePrefix="1" applyFont="1" applyFill="1" applyAlignment="1">
      <alignment horizontal="left"/>
    </xf>
    <xf numFmtId="42" fontId="12" fillId="0" borderId="25" xfId="0" applyNumberFormat="1" applyFont="1" applyFill="1" applyBorder="1"/>
    <xf numFmtId="0" fontId="18" fillId="0" borderId="0" xfId="0" applyFont="1" applyFill="1" applyAlignment="1">
      <alignment horizontal="right"/>
    </xf>
    <xf numFmtId="37" fontId="18" fillId="0" borderId="0" xfId="0" applyNumberFormat="1" applyFont="1" applyFill="1" applyAlignment="1">
      <alignment horizontal="center"/>
    </xf>
    <xf numFmtId="42" fontId="18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left"/>
    </xf>
    <xf numFmtId="167" fontId="9" fillId="0" borderId="0" xfId="0" applyNumberFormat="1" applyFont="1" applyFill="1" applyBorder="1" applyAlignment="1">
      <alignment horizontal="right"/>
    </xf>
    <xf numFmtId="42" fontId="9" fillId="0" borderId="0" xfId="0" applyNumberFormat="1" applyFont="1" applyFill="1" applyBorder="1" applyAlignment="1">
      <alignment horizontal="right"/>
    </xf>
    <xf numFmtId="41" fontId="9" fillId="0" borderId="1" xfId="0" applyNumberFormat="1" applyFont="1" applyFill="1" applyBorder="1" applyAlignment="1">
      <alignment horizontal="right"/>
    </xf>
    <xf numFmtId="179" fontId="9" fillId="0" borderId="0" xfId="0" applyNumberFormat="1" applyFont="1" applyFill="1" applyBorder="1"/>
    <xf numFmtId="37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/>
    <xf numFmtId="178" fontId="9" fillId="0" borderId="0" xfId="0" applyNumberFormat="1" applyFont="1" applyFill="1" applyBorder="1" applyAlignment="1">
      <alignment horizontal="right"/>
    </xf>
    <xf numFmtId="42" fontId="9" fillId="0" borderId="1" xfId="0" applyNumberFormat="1" applyFont="1" applyFill="1" applyBorder="1" applyAlignment="1">
      <alignment horizontal="righ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right"/>
    </xf>
    <xf numFmtId="9" fontId="9" fillId="0" borderId="0" xfId="0" applyNumberFormat="1" applyFont="1" applyFill="1" applyBorder="1" applyAlignment="1">
      <alignment horizontal="right"/>
    </xf>
    <xf numFmtId="43" fontId="9" fillId="0" borderId="1" xfId="0" applyNumberFormat="1" applyFont="1" applyFill="1" applyBorder="1"/>
    <xf numFmtId="42" fontId="12" fillId="0" borderId="0" xfId="0" applyNumberFormat="1" applyFont="1" applyFill="1" applyBorder="1" applyAlignment="1">
      <alignment horizontal="right"/>
    </xf>
    <xf numFmtId="42" fontId="9" fillId="0" borderId="4" xfId="0" applyNumberFormat="1" applyFont="1" applyFill="1" applyBorder="1"/>
    <xf numFmtId="0" fontId="9" fillId="0" borderId="0" xfId="0" applyFont="1" applyFill="1" applyAlignment="1" applyProtection="1">
      <alignment horizontal="center"/>
      <protection locked="0"/>
    </xf>
    <xf numFmtId="0" fontId="12" fillId="0" borderId="0" xfId="0" applyNumberFormat="1" applyFont="1" applyFill="1" applyAlignment="1"/>
    <xf numFmtId="0" fontId="25" fillId="0" borderId="0" xfId="0" applyNumberFormat="1" applyFont="1" applyFill="1" applyAlignment="1"/>
    <xf numFmtId="0" fontId="26" fillId="0" borderId="0" xfId="0" applyNumberFormat="1" applyFont="1" applyFill="1" applyAlignment="1"/>
    <xf numFmtId="0" fontId="12" fillId="0" borderId="0" xfId="0" applyNumberFormat="1" applyFont="1" applyFill="1" applyBorder="1" applyAlignment="1"/>
    <xf numFmtId="0" fontId="12" fillId="0" borderId="8" xfId="0" applyNumberFormat="1" applyFont="1" applyFill="1" applyBorder="1" applyAlignment="1">
      <alignment horizontal="right" wrapText="1"/>
    </xf>
    <xf numFmtId="0" fontId="12" fillId="0" borderId="8" xfId="0" applyNumberFormat="1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17" fontId="9" fillId="0" borderId="6" xfId="0" applyNumberFormat="1" applyFont="1" applyFill="1" applyBorder="1" applyAlignment="1">
      <alignment horizontal="center"/>
    </xf>
    <xf numFmtId="168" fontId="9" fillId="0" borderId="6" xfId="0" applyNumberFormat="1" applyFont="1" applyFill="1" applyBorder="1" applyAlignment="1"/>
    <xf numFmtId="169" fontId="9" fillId="0" borderId="6" xfId="0" applyNumberFormat="1" applyFont="1" applyFill="1" applyBorder="1" applyAlignment="1"/>
    <xf numFmtId="6" fontId="9" fillId="0" borderId="6" xfId="0" applyNumberFormat="1" applyFont="1" applyFill="1" applyBorder="1" applyAlignment="1"/>
    <xf numFmtId="170" fontId="13" fillId="0" borderId="0" xfId="0" applyNumberFormat="1" applyFont="1" applyFill="1" applyAlignment="1"/>
    <xf numFmtId="17" fontId="9" fillId="0" borderId="7" xfId="0" applyNumberFormat="1" applyFont="1" applyFill="1" applyBorder="1" applyAlignment="1">
      <alignment horizontal="center"/>
    </xf>
    <xf numFmtId="168" fontId="9" fillId="0" borderId="7" xfId="0" applyNumberFormat="1" applyFont="1" applyFill="1" applyBorder="1" applyAlignment="1"/>
    <xf numFmtId="169" fontId="9" fillId="0" borderId="7" xfId="0" applyNumberFormat="1" applyFont="1" applyFill="1" applyBorder="1" applyAlignment="1"/>
    <xf numFmtId="6" fontId="9" fillId="0" borderId="7" xfId="0" applyNumberFormat="1" applyFont="1" applyFill="1" applyBorder="1" applyAlignment="1"/>
    <xf numFmtId="0" fontId="12" fillId="0" borderId="9" xfId="0" applyNumberFormat="1" applyFont="1" applyFill="1" applyBorder="1" applyAlignment="1">
      <alignment horizontal="right"/>
    </xf>
    <xf numFmtId="168" fontId="12" fillId="0" borderId="5" xfId="0" applyNumberFormat="1" applyFont="1" applyFill="1" applyBorder="1" applyAlignment="1"/>
    <xf numFmtId="168" fontId="12" fillId="0" borderId="0" xfId="0" applyNumberFormat="1" applyFont="1" applyFill="1" applyBorder="1" applyAlignment="1"/>
    <xf numFmtId="6" fontId="12" fillId="0" borderId="21" xfId="0" applyNumberFormat="1" applyFont="1" applyFill="1" applyBorder="1" applyAlignment="1"/>
    <xf numFmtId="43" fontId="12" fillId="0" borderId="0" xfId="0" applyNumberFormat="1" applyFont="1" applyFill="1" applyAlignment="1"/>
    <xf numFmtId="8" fontId="12" fillId="0" borderId="0" xfId="0" applyNumberFormat="1" applyFont="1" applyFill="1" applyAlignment="1"/>
    <xf numFmtId="0" fontId="18" fillId="0" borderId="9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right"/>
    </xf>
    <xf numFmtId="168" fontId="18" fillId="0" borderId="0" xfId="0" applyNumberFormat="1" applyFont="1" applyFill="1" applyBorder="1" applyAlignment="1"/>
    <xf numFmtId="168" fontId="9" fillId="0" borderId="0" xfId="0" applyNumberFormat="1" applyFont="1" applyFill="1" applyBorder="1" applyAlignment="1"/>
    <xf numFmtId="9" fontId="25" fillId="0" borderId="0" xfId="0" applyNumberFormat="1" applyFont="1" applyFill="1" applyAlignment="1"/>
    <xf numFmtId="168" fontId="25" fillId="0" borderId="0" xfId="0" applyNumberFormat="1" applyFont="1" applyFill="1" applyAlignment="1"/>
    <xf numFmtId="171" fontId="25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" fillId="0" borderId="26" xfId="0" applyNumberFormat="1" applyFont="1" applyFill="1" applyBorder="1" applyAlignment="1">
      <alignment horizontal="centerContinuous"/>
    </xf>
    <xf numFmtId="0" fontId="1" fillId="0" borderId="27" xfId="0" applyNumberFormat="1" applyFont="1" applyFill="1" applyBorder="1" applyAlignment="1">
      <alignment horizontal="centerContinuous"/>
    </xf>
    <xf numFmtId="0" fontId="1" fillId="0" borderId="30" xfId="0" applyNumberFormat="1" applyFont="1" applyFill="1" applyBorder="1" applyAlignment="1">
      <alignment horizontal="centerContinuous"/>
    </xf>
    <xf numFmtId="0" fontId="1" fillId="0" borderId="32" xfId="0" applyNumberFormat="1" applyFont="1" applyFill="1" applyBorder="1" applyAlignment="1">
      <alignment horizontal="centerContinuous"/>
    </xf>
    <xf numFmtId="0" fontId="1" fillId="0" borderId="23" xfId="0" applyNumberFormat="1" applyFont="1" applyFill="1" applyBorder="1" applyAlignment="1">
      <alignment horizontal="centerContinuous"/>
    </xf>
    <xf numFmtId="0" fontId="1" fillId="0" borderId="33" xfId="0" applyNumberFormat="1" applyFont="1" applyFill="1" applyBorder="1" applyAlignment="1">
      <alignment horizontal="centerContinuous"/>
    </xf>
    <xf numFmtId="0" fontId="1" fillId="0" borderId="0" xfId="0" applyNumberFormat="1" applyFont="1" applyFill="1" applyAlignment="1">
      <alignment horizontal="center"/>
    </xf>
    <xf numFmtId="0" fontId="1" fillId="0" borderId="28" xfId="0" applyNumberFormat="1" applyFont="1" applyFill="1" applyBorder="1" applyAlignment="1">
      <alignment horizontal="centerContinuous"/>
    </xf>
    <xf numFmtId="0" fontId="1" fillId="0" borderId="29" xfId="0" applyNumberFormat="1" applyFont="1" applyFill="1" applyBorder="1" applyAlignment="1">
      <alignment horizontal="centerContinuous"/>
    </xf>
    <xf numFmtId="0" fontId="1" fillId="0" borderId="28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left"/>
    </xf>
    <xf numFmtId="42" fontId="17" fillId="0" borderId="0" xfId="0" applyNumberFormat="1" applyFont="1" applyFill="1" applyAlignment="1" applyProtection="1">
      <protection locked="0"/>
    </xf>
    <xf numFmtId="41" fontId="17" fillId="0" borderId="2" xfId="0" applyNumberFormat="1" applyFont="1" applyFill="1" applyBorder="1" applyAlignment="1" applyProtection="1">
      <protection locked="0"/>
    </xf>
    <xf numFmtId="41" fontId="2" fillId="0" borderId="2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Alignment="1"/>
    <xf numFmtId="0" fontId="6" fillId="0" borderId="0" xfId="0" applyNumberFormat="1" applyFont="1" applyFill="1" applyAlignment="1"/>
    <xf numFmtId="41" fontId="17" fillId="0" borderId="0" xfId="0" applyNumberFormat="1" applyFont="1" applyFill="1" applyAlignment="1" applyProtection="1">
      <protection locked="0"/>
    </xf>
    <xf numFmtId="41" fontId="2" fillId="0" borderId="25" xfId="0" applyNumberFormat="1" applyFont="1" applyFill="1" applyBorder="1" applyAlignment="1" applyProtection="1">
      <protection locked="0"/>
    </xf>
    <xf numFmtId="41" fontId="17" fillId="0" borderId="0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0" fontId="6" fillId="0" borderId="0" xfId="0" quotePrefix="1" applyNumberFormat="1" applyFont="1" applyFill="1" applyAlignment="1">
      <alignment horizontal="left"/>
    </xf>
    <xf numFmtId="41" fontId="17" fillId="0" borderId="25" xfId="0" applyNumberFormat="1" applyFont="1" applyFill="1" applyBorder="1" applyAlignment="1" applyProtection="1">
      <protection locked="0"/>
    </xf>
    <xf numFmtId="42" fontId="17" fillId="0" borderId="5" xfId="0" applyNumberFormat="1" applyFont="1" applyFill="1" applyBorder="1" applyAlignment="1" applyProtection="1">
      <protection locked="0"/>
    </xf>
    <xf numFmtId="42" fontId="2" fillId="0" borderId="5" xfId="0" applyNumberFormat="1" applyFont="1" applyFill="1" applyBorder="1" applyAlignment="1" applyProtection="1">
      <protection locked="0"/>
    </xf>
    <xf numFmtId="172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Alignment="1" applyProtection="1">
      <protection locked="0"/>
    </xf>
    <xf numFmtId="42" fontId="17" fillId="0" borderId="0" xfId="0" applyNumberFormat="1" applyFont="1" applyFill="1" applyBorder="1" applyAlignment="1" applyProtection="1">
      <protection locked="0"/>
    </xf>
    <xf numFmtId="10" fontId="2" fillId="0" borderId="0" xfId="0" applyNumberFormat="1" applyFont="1" applyFill="1" applyAlignment="1" applyProtection="1">
      <protection locked="0"/>
    </xf>
    <xf numFmtId="10" fontId="17" fillId="0" borderId="0" xfId="0" applyNumberFormat="1" applyFont="1" applyFill="1" applyAlignment="1" applyProtection="1">
      <protection locked="0"/>
    </xf>
    <xf numFmtId="165" fontId="6" fillId="0" borderId="0" xfId="0" applyNumberFormat="1" applyFont="1" applyFill="1" applyAlignment="1" applyProtection="1">
      <alignment horizontal="left"/>
    </xf>
    <xf numFmtId="42" fontId="17" fillId="0" borderId="4" xfId="0" applyNumberFormat="1" applyFont="1" applyFill="1" applyBorder="1" applyAlignment="1" applyProtection="1">
      <protection locked="0"/>
    </xf>
    <xf numFmtId="0" fontId="0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167" fontId="2" fillId="0" borderId="0" xfId="0" applyNumberFormat="1" applyFont="1" applyFill="1" applyAlignment="1"/>
    <xf numFmtId="10" fontId="2" fillId="0" borderId="0" xfId="0" applyNumberFormat="1" applyFont="1" applyFill="1" applyAlignment="1"/>
    <xf numFmtId="43" fontId="0" fillId="0" borderId="0" xfId="0" applyNumberFormat="1" applyFont="1" applyFill="1"/>
    <xf numFmtId="0" fontId="1" fillId="0" borderId="24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0" fontId="1" fillId="0" borderId="22" xfId="0" applyNumberFormat="1" applyFont="1" applyFill="1" applyBorder="1" applyAlignment="1">
      <alignment horizontal="centerContinuous"/>
    </xf>
    <xf numFmtId="0" fontId="1" fillId="0" borderId="31" xfId="0" applyNumberFormat="1" applyFont="1" applyFill="1" applyBorder="1" applyAlignment="1">
      <alignment horizontal="centerContinuous"/>
    </xf>
    <xf numFmtId="0" fontId="1" fillId="0" borderId="24" xfId="0" applyNumberFormat="1" applyFont="1" applyFill="1" applyBorder="1" applyAlignment="1">
      <alignment horizontal="center"/>
    </xf>
    <xf numFmtId="0" fontId="28" fillId="0" borderId="34" xfId="0" applyNumberFormat="1" applyFont="1" applyFill="1" applyBorder="1" applyAlignment="1">
      <alignment horizontal="center"/>
    </xf>
    <xf numFmtId="0" fontId="0" fillId="0" borderId="34" xfId="0" applyFont="1" applyFill="1" applyBorder="1"/>
    <xf numFmtId="0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/>
    <xf numFmtId="0" fontId="2" fillId="0" borderId="0" xfId="0" quotePrefix="1" applyNumberFormat="1" applyFont="1" applyFill="1" applyAlignment="1">
      <alignment horizontal="left"/>
    </xf>
    <xf numFmtId="165" fontId="2" fillId="0" borderId="0" xfId="0" applyNumberFormat="1" applyFont="1" applyFill="1" applyAlignment="1" applyProtection="1">
      <alignment horizontal="left"/>
    </xf>
    <xf numFmtId="42" fontId="0" fillId="0" borderId="0" xfId="0" applyNumberFormat="1" applyFont="1" applyFill="1"/>
    <xf numFmtId="41" fontId="2" fillId="0" borderId="0" xfId="0" applyNumberFormat="1" applyFont="1" applyFill="1" applyAlignment="1"/>
    <xf numFmtId="41" fontId="0" fillId="0" borderId="0" xfId="0" applyNumberFormat="1" applyFon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activeCell="B37" sqref="B37"/>
    </sheetView>
  </sheetViews>
  <sheetFormatPr defaultColWidth="9.109375" defaultRowHeight="14.4" outlineLevelRow="1" x14ac:dyDescent="0.3"/>
  <cols>
    <col min="1" max="1" width="7.44140625" style="22" customWidth="1"/>
    <col min="2" max="2" width="43" style="22" bestFit="1" customWidth="1"/>
    <col min="3" max="3" width="16.33203125" style="22" bestFit="1" customWidth="1"/>
    <col min="4" max="4" width="15.33203125" style="22" bestFit="1" customWidth="1"/>
    <col min="5" max="5" width="14.44140625" style="22" bestFit="1" customWidth="1"/>
    <col min="6" max="17" width="14.44140625" style="22" customWidth="1"/>
    <col min="18" max="18" width="17" style="22" bestFit="1" customWidth="1"/>
    <col min="19" max="19" width="18" style="22" bestFit="1" customWidth="1"/>
    <col min="20" max="20" width="11.33203125" style="22" bestFit="1" customWidth="1"/>
    <col min="21" max="21" width="9.88671875" style="22" customWidth="1"/>
    <col min="22" max="22" width="43" style="22" bestFit="1" customWidth="1"/>
    <col min="23" max="23" width="13.88671875" style="22" bestFit="1" customWidth="1"/>
    <col min="24" max="24" width="12.109375" style="22" bestFit="1" customWidth="1"/>
    <col min="25" max="25" width="14.44140625" style="22" bestFit="1" customWidth="1"/>
    <col min="26" max="26" width="11.6640625" style="22" bestFit="1" customWidth="1"/>
    <col min="27" max="27" width="14.44140625" style="22" bestFit="1" customWidth="1"/>
    <col min="28" max="28" width="18.5546875" style="22" bestFit="1" customWidth="1"/>
    <col min="29" max="30" width="15.33203125" style="22" bestFit="1" customWidth="1"/>
    <col min="31" max="31" width="16" style="22" bestFit="1" customWidth="1"/>
    <col min="32" max="32" width="15.33203125" style="22" bestFit="1" customWidth="1"/>
    <col min="33" max="33" width="15.6640625" style="22" bestFit="1" customWidth="1"/>
    <col min="34" max="34" width="12.109375" style="22" bestFit="1" customWidth="1"/>
    <col min="35" max="35" width="13.88671875" style="22" bestFit="1" customWidth="1"/>
    <col min="36" max="36" width="9.109375" style="22"/>
    <col min="37" max="37" width="7.88671875" style="22" customWidth="1"/>
    <col min="38" max="38" width="43" style="22" bestFit="1" customWidth="1"/>
    <col min="39" max="39" width="12.6640625" style="22" bestFit="1" customWidth="1"/>
    <col min="40" max="40" width="12.109375" style="22" bestFit="1" customWidth="1"/>
    <col min="41" max="41" width="14.44140625" style="22" bestFit="1" customWidth="1"/>
    <col min="42" max="42" width="11.6640625" style="22" bestFit="1" customWidth="1"/>
    <col min="43" max="43" width="14.44140625" style="22" bestFit="1" customWidth="1"/>
    <col min="44" max="44" width="18.5546875" style="22" bestFit="1" customWidth="1"/>
    <col min="45" max="46" width="15.33203125" style="22" bestFit="1" customWidth="1"/>
    <col min="47" max="47" width="16" style="22" bestFit="1" customWidth="1"/>
    <col min="48" max="48" width="15.33203125" style="22" bestFit="1" customWidth="1"/>
    <col min="49" max="49" width="15.6640625" style="22" bestFit="1" customWidth="1"/>
    <col min="50" max="51" width="10.88671875" style="22" bestFit="1" customWidth="1"/>
    <col min="52" max="16384" width="9.109375" style="22"/>
  </cols>
  <sheetData>
    <row r="1" spans="1:18" x14ac:dyDescent="0.3">
      <c r="A1" s="15" t="s">
        <v>0</v>
      </c>
      <c r="B1" s="24"/>
      <c r="Q1" s="17" t="s">
        <v>205</v>
      </c>
      <c r="R1" s="18"/>
    </row>
    <row r="2" spans="1:18" x14ac:dyDescent="0.3">
      <c r="A2" s="15" t="s">
        <v>199</v>
      </c>
      <c r="B2" s="24"/>
    </row>
    <row r="3" spans="1:18" x14ac:dyDescent="0.3">
      <c r="A3" s="15" t="s">
        <v>155</v>
      </c>
      <c r="B3" s="24"/>
      <c r="H3" s="253"/>
      <c r="I3" s="253"/>
      <c r="J3" s="253"/>
      <c r="K3" s="253"/>
      <c r="L3" s="253"/>
      <c r="M3" s="253"/>
      <c r="N3" s="253"/>
      <c r="O3" s="253"/>
      <c r="P3" s="253"/>
    </row>
    <row r="4" spans="1:18" x14ac:dyDescent="0.3">
      <c r="A4" s="19" t="s">
        <v>154</v>
      </c>
      <c r="B4" s="24"/>
      <c r="C4" s="208" t="s">
        <v>59</v>
      </c>
      <c r="D4" s="208" t="s">
        <v>60</v>
      </c>
      <c r="E4" s="208" t="s">
        <v>61</v>
      </c>
      <c r="F4" s="208" t="s">
        <v>159</v>
      </c>
      <c r="G4" s="208" t="s">
        <v>74</v>
      </c>
      <c r="H4" s="208" t="s">
        <v>201</v>
      </c>
      <c r="I4" s="208" t="s">
        <v>202</v>
      </c>
      <c r="J4" s="208" t="s">
        <v>203</v>
      </c>
      <c r="K4" s="208" t="s">
        <v>253</v>
      </c>
      <c r="L4" s="208" t="s">
        <v>254</v>
      </c>
      <c r="M4" s="208" t="s">
        <v>255</v>
      </c>
      <c r="N4" s="208" t="s">
        <v>261</v>
      </c>
      <c r="O4" s="208" t="s">
        <v>262</v>
      </c>
      <c r="P4" s="208" t="s">
        <v>280</v>
      </c>
      <c r="Q4" s="208" t="s">
        <v>281</v>
      </c>
      <c r="R4" s="208" t="s">
        <v>282</v>
      </c>
    </row>
    <row r="5" spans="1:18" hidden="1" outlineLevel="1" x14ac:dyDescent="0.3">
      <c r="B5" s="24"/>
    </row>
    <row r="6" spans="1:18" collapsed="1" x14ac:dyDescent="0.3">
      <c r="A6" s="24"/>
      <c r="B6" s="24"/>
      <c r="C6" s="215"/>
      <c r="D6" s="209" t="s">
        <v>184</v>
      </c>
      <c r="E6" s="254"/>
      <c r="F6" s="254"/>
      <c r="G6" s="210"/>
      <c r="H6" s="211" t="s">
        <v>181</v>
      </c>
      <c r="I6" s="211"/>
      <c r="J6" s="211"/>
      <c r="K6" s="211"/>
      <c r="L6" s="211"/>
      <c r="M6" s="211"/>
      <c r="N6" s="211"/>
      <c r="O6" s="211"/>
      <c r="P6" s="211"/>
      <c r="Q6" s="211" t="s">
        <v>48</v>
      </c>
      <c r="R6" s="215"/>
    </row>
    <row r="7" spans="1:18" x14ac:dyDescent="0.3">
      <c r="A7" s="24"/>
      <c r="B7" s="24"/>
      <c r="C7" s="215"/>
      <c r="D7" s="212" t="s">
        <v>183</v>
      </c>
      <c r="E7" s="255"/>
      <c r="F7" s="255"/>
      <c r="G7" s="213"/>
      <c r="H7" s="214" t="s">
        <v>182</v>
      </c>
      <c r="I7" s="214"/>
      <c r="J7" s="214"/>
      <c r="K7" s="214"/>
      <c r="L7" s="214"/>
      <c r="M7" s="214"/>
      <c r="N7" s="214"/>
      <c r="O7" s="214"/>
      <c r="P7" s="214"/>
      <c r="Q7" s="214" t="s">
        <v>185</v>
      </c>
      <c r="R7" s="215"/>
    </row>
    <row r="8" spans="1:18" x14ac:dyDescent="0.3">
      <c r="A8" s="24"/>
      <c r="B8" s="24"/>
      <c r="C8" s="215"/>
      <c r="D8" s="216" t="s">
        <v>180</v>
      </c>
      <c r="E8" s="256"/>
      <c r="F8" s="256"/>
      <c r="G8" s="217"/>
      <c r="H8" s="257" t="s">
        <v>180</v>
      </c>
      <c r="I8" s="257"/>
      <c r="J8" s="257"/>
      <c r="K8" s="257"/>
      <c r="L8" s="257"/>
      <c r="M8" s="257"/>
      <c r="N8" s="257"/>
      <c r="O8" s="257"/>
      <c r="P8" s="257"/>
      <c r="Q8" s="221" t="s">
        <v>186</v>
      </c>
      <c r="R8" s="215"/>
    </row>
    <row r="9" spans="1:18" x14ac:dyDescent="0.3">
      <c r="A9" s="24"/>
      <c r="B9" s="24"/>
      <c r="C9" s="215" t="s">
        <v>44</v>
      </c>
      <c r="D9" s="215" t="s">
        <v>50</v>
      </c>
      <c r="E9" s="215" t="s">
        <v>53</v>
      </c>
      <c r="F9" s="215" t="s">
        <v>175</v>
      </c>
      <c r="G9" s="215" t="s">
        <v>173</v>
      </c>
      <c r="H9" s="258" t="s">
        <v>196</v>
      </c>
      <c r="I9" s="258" t="s">
        <v>236</v>
      </c>
      <c r="J9" s="258" t="s">
        <v>237</v>
      </c>
      <c r="K9" s="258" t="s">
        <v>263</v>
      </c>
      <c r="L9" s="258" t="s">
        <v>264</v>
      </c>
      <c r="M9" s="258" t="s">
        <v>238</v>
      </c>
      <c r="N9" s="258" t="s">
        <v>239</v>
      </c>
      <c r="O9" s="258" t="s">
        <v>240</v>
      </c>
      <c r="P9" s="258" t="s">
        <v>278</v>
      </c>
      <c r="Q9" s="215" t="s">
        <v>187</v>
      </c>
      <c r="R9" s="215"/>
    </row>
    <row r="10" spans="1:18" x14ac:dyDescent="0.3">
      <c r="A10" s="215" t="s">
        <v>1</v>
      </c>
      <c r="C10" s="215" t="s">
        <v>45</v>
      </c>
      <c r="D10" s="215" t="s">
        <v>51</v>
      </c>
      <c r="E10" s="215" t="s">
        <v>51</v>
      </c>
      <c r="F10" s="215" t="s">
        <v>176</v>
      </c>
      <c r="G10" s="215" t="s">
        <v>174</v>
      </c>
      <c r="H10" s="215" t="s">
        <v>178</v>
      </c>
      <c r="I10" s="215" t="s">
        <v>241</v>
      </c>
      <c r="J10" s="215" t="s">
        <v>242</v>
      </c>
      <c r="K10" s="215" t="s">
        <v>267</v>
      </c>
      <c r="L10" s="215" t="s">
        <v>268</v>
      </c>
      <c r="M10" s="215" t="s">
        <v>243</v>
      </c>
      <c r="N10" s="215" t="s">
        <v>244</v>
      </c>
      <c r="O10" s="215" t="s">
        <v>245</v>
      </c>
      <c r="P10" s="215" t="s">
        <v>279</v>
      </c>
      <c r="Q10" s="215" t="s">
        <v>188</v>
      </c>
      <c r="R10" s="215" t="s">
        <v>163</v>
      </c>
    </row>
    <row r="11" spans="1:18" x14ac:dyDescent="0.3">
      <c r="A11" s="224" t="s">
        <v>3</v>
      </c>
      <c r="B11" s="224" t="s">
        <v>2</v>
      </c>
      <c r="C11" s="224" t="s">
        <v>46</v>
      </c>
      <c r="D11" s="224" t="s">
        <v>49</v>
      </c>
      <c r="E11" s="224" t="s">
        <v>24</v>
      </c>
      <c r="F11" s="224" t="s">
        <v>177</v>
      </c>
      <c r="G11" s="224" t="s">
        <v>24</v>
      </c>
      <c r="H11" s="224" t="s">
        <v>179</v>
      </c>
      <c r="I11" s="215" t="s">
        <v>25</v>
      </c>
      <c r="J11" s="215" t="s">
        <v>25</v>
      </c>
      <c r="K11" s="215" t="s">
        <v>25</v>
      </c>
      <c r="L11" s="215" t="s">
        <v>25</v>
      </c>
      <c r="M11" s="215" t="s">
        <v>246</v>
      </c>
      <c r="N11" s="215" t="s">
        <v>25</v>
      </c>
      <c r="O11" s="215" t="s">
        <v>247</v>
      </c>
      <c r="P11" s="215" t="s">
        <v>247</v>
      </c>
      <c r="Q11" s="224" t="s">
        <v>189</v>
      </c>
      <c r="R11" s="224" t="s">
        <v>164</v>
      </c>
    </row>
    <row r="12" spans="1:18" x14ac:dyDescent="0.3">
      <c r="A12" s="24"/>
      <c r="B12" s="24"/>
      <c r="C12" s="259" t="s">
        <v>47</v>
      </c>
      <c r="D12" s="259" t="s">
        <v>52</v>
      </c>
      <c r="E12" s="259" t="s">
        <v>52</v>
      </c>
      <c r="F12" s="259" t="s">
        <v>47</v>
      </c>
      <c r="G12" s="259" t="s">
        <v>47</v>
      </c>
      <c r="H12" s="259" t="s">
        <v>195</v>
      </c>
      <c r="I12" s="224" t="s">
        <v>248</v>
      </c>
      <c r="J12" s="224" t="s">
        <v>249</v>
      </c>
      <c r="K12" s="224" t="s">
        <v>266</v>
      </c>
      <c r="L12" s="224" t="s">
        <v>265</v>
      </c>
      <c r="M12" s="224" t="s">
        <v>250</v>
      </c>
      <c r="N12" s="224" t="s">
        <v>251</v>
      </c>
      <c r="O12" s="224" t="s">
        <v>252</v>
      </c>
      <c r="P12" s="224"/>
      <c r="Q12" s="259" t="s">
        <v>190</v>
      </c>
      <c r="R12" s="260"/>
    </row>
    <row r="13" spans="1:18" x14ac:dyDescent="0.3">
      <c r="A13" s="208">
        <v>1</v>
      </c>
      <c r="B13" s="261" t="s">
        <v>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3">
      <c r="A14" s="208">
        <f t="shared" ref="A14:A59" si="0">A13+1</f>
        <v>2</v>
      </c>
      <c r="B14" s="261" t="s">
        <v>5</v>
      </c>
      <c r="C14" s="5">
        <v>2006645990.2612319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/>
      <c r="J14" s="5"/>
      <c r="K14" s="5"/>
      <c r="L14" s="5"/>
      <c r="M14" s="5"/>
      <c r="N14" s="5"/>
      <c r="O14" s="5"/>
      <c r="P14" s="5"/>
      <c r="Q14" s="5">
        <f>-+'TY Sales'!F19</f>
        <v>-719793390.96442294</v>
      </c>
      <c r="R14" s="5">
        <f>SUM(C14:Q14)</f>
        <v>1286852599.296809</v>
      </c>
    </row>
    <row r="15" spans="1:18" x14ac:dyDescent="0.3">
      <c r="A15" s="208">
        <f t="shared" si="0"/>
        <v>3</v>
      </c>
      <c r="B15" s="261" t="s">
        <v>6</v>
      </c>
      <c r="C15" s="6">
        <v>328327.15999999898</v>
      </c>
      <c r="D15" s="6">
        <v>0</v>
      </c>
      <c r="E15" s="6">
        <v>0</v>
      </c>
      <c r="F15" s="6"/>
      <c r="G15" s="6">
        <v>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>
        <f>SUM(C15:Q15)</f>
        <v>328327.15999999898</v>
      </c>
    </row>
    <row r="16" spans="1:18" x14ac:dyDescent="0.3">
      <c r="A16" s="208">
        <f t="shared" si="0"/>
        <v>4</v>
      </c>
      <c r="B16" s="261" t="s">
        <v>7</v>
      </c>
      <c r="C16" s="6">
        <v>155333122.24000001</v>
      </c>
      <c r="D16" s="6">
        <v>0</v>
      </c>
      <c r="E16" s="6">
        <v>0</v>
      </c>
      <c r="F16" s="6"/>
      <c r="G16" s="6">
        <v>0</v>
      </c>
      <c r="H16" s="6"/>
      <c r="I16" s="6"/>
      <c r="J16" s="6"/>
      <c r="K16" s="6"/>
      <c r="L16" s="6"/>
      <c r="M16" s="6"/>
      <c r="N16" s="6"/>
      <c r="O16" s="6"/>
      <c r="P16" s="6"/>
      <c r="Q16" s="6">
        <f>-C16</f>
        <v>-155333122.24000001</v>
      </c>
      <c r="R16" s="6">
        <f>SUM(C16:Q16)</f>
        <v>0</v>
      </c>
    </row>
    <row r="17" spans="1:18" x14ac:dyDescent="0.3">
      <c r="A17" s="208">
        <f t="shared" si="0"/>
        <v>5</v>
      </c>
      <c r="B17" s="261" t="s">
        <v>8</v>
      </c>
      <c r="C17" s="6">
        <v>139803179</v>
      </c>
      <c r="D17" s="6">
        <v>0</v>
      </c>
      <c r="E17" s="6">
        <v>0</v>
      </c>
      <c r="F17" s="6"/>
      <c r="G17" s="6">
        <v>0</v>
      </c>
      <c r="H17" s="6">
        <v>-18227053.410000004</v>
      </c>
      <c r="I17" s="6"/>
      <c r="J17" s="6"/>
      <c r="K17" s="6"/>
      <c r="L17" s="6"/>
      <c r="M17" s="6"/>
      <c r="N17" s="6"/>
      <c r="O17" s="6"/>
      <c r="P17" s="6"/>
      <c r="Q17" s="6">
        <f>PSNCG!B6</f>
        <v>-69470811.979999989</v>
      </c>
      <c r="R17" s="6">
        <f>SUM(C17:Q17)</f>
        <v>52105313.610000014</v>
      </c>
    </row>
    <row r="18" spans="1:18" x14ac:dyDescent="0.3">
      <c r="A18" s="208">
        <f t="shared" si="0"/>
        <v>6</v>
      </c>
      <c r="B18" s="261" t="s">
        <v>9</v>
      </c>
      <c r="C18" s="230">
        <f>SUM(C14:C17)</f>
        <v>2302110618.661232</v>
      </c>
      <c r="D18" s="230">
        <f t="shared" ref="D18:Q18" si="1">SUM(D14:D17)</f>
        <v>0</v>
      </c>
      <c r="E18" s="230">
        <f t="shared" si="1"/>
        <v>0</v>
      </c>
      <c r="F18" s="230">
        <f t="shared" si="1"/>
        <v>0</v>
      </c>
      <c r="G18" s="230">
        <f t="shared" si="1"/>
        <v>0</v>
      </c>
      <c r="H18" s="230">
        <f t="shared" si="1"/>
        <v>-18227053.410000004</v>
      </c>
      <c r="I18" s="234">
        <f t="shared" si="1"/>
        <v>0</v>
      </c>
      <c r="J18" s="234">
        <f t="shared" si="1"/>
        <v>0</v>
      </c>
      <c r="K18" s="234">
        <f t="shared" si="1"/>
        <v>0</v>
      </c>
      <c r="L18" s="234">
        <f t="shared" si="1"/>
        <v>0</v>
      </c>
      <c r="M18" s="234">
        <f t="shared" si="1"/>
        <v>0</v>
      </c>
      <c r="N18" s="234">
        <f t="shared" si="1"/>
        <v>0</v>
      </c>
      <c r="O18" s="234">
        <f t="shared" si="1"/>
        <v>0</v>
      </c>
      <c r="P18" s="234"/>
      <c r="Q18" s="230">
        <f t="shared" si="1"/>
        <v>-944597325.18442297</v>
      </c>
      <c r="R18" s="230">
        <f>SUM(R14:R17)</f>
        <v>1339286240.0668092</v>
      </c>
    </row>
    <row r="19" spans="1:18" x14ac:dyDescent="0.3">
      <c r="A19" s="208">
        <f t="shared" si="0"/>
        <v>7</v>
      </c>
      <c r="B19" s="26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3">
      <c r="A20" s="208">
        <f t="shared" si="0"/>
        <v>8</v>
      </c>
      <c r="B20" s="261" t="s">
        <v>10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3">
      <c r="A21" s="208">
        <f t="shared" si="0"/>
        <v>9</v>
      </c>
      <c r="B21" s="25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3">
      <c r="A22" s="208">
        <f t="shared" si="0"/>
        <v>10</v>
      </c>
      <c r="B22" s="261" t="s">
        <v>11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3">
      <c r="A23" s="208">
        <f t="shared" si="0"/>
        <v>11</v>
      </c>
      <c r="B23" s="261" t="s">
        <v>12</v>
      </c>
      <c r="C23" s="6">
        <v>205237492.64999998</v>
      </c>
      <c r="D23" s="6">
        <v>0</v>
      </c>
      <c r="E23" s="6">
        <v>0</v>
      </c>
      <c r="F23" s="6"/>
      <c r="G23" s="6">
        <v>0</v>
      </c>
      <c r="H23" s="6"/>
      <c r="I23" s="6"/>
      <c r="J23" s="6"/>
      <c r="K23" s="6"/>
      <c r="L23" s="6"/>
      <c r="M23" s="6"/>
      <c r="N23" s="6"/>
      <c r="O23" s="6"/>
      <c r="P23" s="6"/>
      <c r="Q23" s="6">
        <f>-C23</f>
        <v>-205237492.64999998</v>
      </c>
      <c r="R23" s="6">
        <f>SUM(C23:Q23)</f>
        <v>0</v>
      </c>
    </row>
    <row r="24" spans="1:18" x14ac:dyDescent="0.3">
      <c r="A24" s="208">
        <f t="shared" si="0"/>
        <v>12</v>
      </c>
      <c r="B24" s="261" t="s">
        <v>13</v>
      </c>
      <c r="C24" s="6">
        <v>600379885.24010801</v>
      </c>
      <c r="D24" s="6">
        <v>0</v>
      </c>
      <c r="E24" s="6">
        <v>0</v>
      </c>
      <c r="F24" s="6"/>
      <c r="G24" s="6">
        <v>0</v>
      </c>
      <c r="H24" s="6"/>
      <c r="I24" s="6"/>
      <c r="J24" s="6"/>
      <c r="K24" s="6"/>
      <c r="L24" s="6"/>
      <c r="M24" s="6"/>
      <c r="N24" s="6"/>
      <c r="O24" s="6"/>
      <c r="P24" s="6"/>
      <c r="Q24" s="6">
        <f>-C24</f>
        <v>-600379885.24010801</v>
      </c>
      <c r="R24" s="6">
        <f>SUM(C24:Q24)</f>
        <v>0</v>
      </c>
    </row>
    <row r="25" spans="1:18" x14ac:dyDescent="0.3">
      <c r="A25" s="208">
        <f t="shared" si="0"/>
        <v>13</v>
      </c>
      <c r="B25" s="261" t="s">
        <v>14</v>
      </c>
      <c r="C25" s="6">
        <v>115807777.5999999</v>
      </c>
      <c r="D25" s="6">
        <v>0</v>
      </c>
      <c r="E25" s="6">
        <v>0</v>
      </c>
      <c r="F25" s="6"/>
      <c r="G25" s="6">
        <v>0</v>
      </c>
      <c r="H25" s="6"/>
      <c r="I25" s="6"/>
      <c r="J25" s="6"/>
      <c r="K25" s="6"/>
      <c r="L25" s="6"/>
      <c r="M25" s="6"/>
      <c r="N25" s="6"/>
      <c r="O25" s="6"/>
      <c r="P25" s="6"/>
      <c r="Q25" s="6">
        <f>-C25</f>
        <v>-115807777.5999999</v>
      </c>
      <c r="R25" s="6">
        <f>SUM(C25:Q25)</f>
        <v>0</v>
      </c>
    </row>
    <row r="26" spans="1:18" x14ac:dyDescent="0.3">
      <c r="A26" s="208">
        <f t="shared" si="0"/>
        <v>14</v>
      </c>
      <c r="B26" s="250" t="s">
        <v>15</v>
      </c>
      <c r="C26" s="6">
        <v>0</v>
      </c>
      <c r="D26" s="6">
        <v>0</v>
      </c>
      <c r="E26" s="6">
        <v>0</v>
      </c>
      <c r="F26" s="6"/>
      <c r="G26" s="6">
        <v>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>
        <f>SUM(C26:Q26)</f>
        <v>0</v>
      </c>
    </row>
    <row r="27" spans="1:18" x14ac:dyDescent="0.3">
      <c r="A27" s="208">
        <f t="shared" si="0"/>
        <v>15</v>
      </c>
      <c r="B27" s="261" t="s">
        <v>16</v>
      </c>
      <c r="C27" s="230">
        <f>SUM(C23:C26)</f>
        <v>921425155.49010789</v>
      </c>
      <c r="D27" s="230">
        <f t="shared" ref="D27:R27" si="2">SUM(D23:D26)</f>
        <v>0</v>
      </c>
      <c r="E27" s="230">
        <f t="shared" si="2"/>
        <v>0</v>
      </c>
      <c r="F27" s="230">
        <f t="shared" si="2"/>
        <v>0</v>
      </c>
      <c r="G27" s="230">
        <f t="shared" si="2"/>
        <v>0</v>
      </c>
      <c r="H27" s="230">
        <f t="shared" si="2"/>
        <v>0</v>
      </c>
      <c r="I27" s="239">
        <f t="shared" si="2"/>
        <v>0</v>
      </c>
      <c r="J27" s="239">
        <f t="shared" si="2"/>
        <v>0</v>
      </c>
      <c r="K27" s="239">
        <f t="shared" si="2"/>
        <v>0</v>
      </c>
      <c r="L27" s="239">
        <f t="shared" si="2"/>
        <v>0</v>
      </c>
      <c r="M27" s="239">
        <f t="shared" si="2"/>
        <v>0</v>
      </c>
      <c r="N27" s="239">
        <f t="shared" si="2"/>
        <v>0</v>
      </c>
      <c r="O27" s="239">
        <f t="shared" si="2"/>
        <v>0</v>
      </c>
      <c r="P27" s="239"/>
      <c r="Q27" s="230">
        <f t="shared" si="2"/>
        <v>-921425155.49010789</v>
      </c>
      <c r="R27" s="230">
        <f t="shared" si="2"/>
        <v>0</v>
      </c>
    </row>
    <row r="28" spans="1:18" x14ac:dyDescent="0.3">
      <c r="A28" s="208">
        <f t="shared" si="0"/>
        <v>16</v>
      </c>
      <c r="B28" s="261"/>
      <c r="C28" s="6"/>
      <c r="D28" s="6"/>
      <c r="E28" s="6"/>
      <c r="F28" s="6"/>
      <c r="G28" s="6"/>
      <c r="H28" s="6"/>
      <c r="I28" s="233"/>
      <c r="J28" s="233"/>
      <c r="K28" s="233"/>
      <c r="L28" s="233"/>
      <c r="M28" s="233"/>
      <c r="N28" s="233"/>
      <c r="O28" s="233"/>
      <c r="P28" s="233"/>
      <c r="Q28" s="6"/>
      <c r="R28" s="6"/>
    </row>
    <row r="29" spans="1:18" x14ac:dyDescent="0.3">
      <c r="A29" s="208">
        <f t="shared" si="0"/>
        <v>17</v>
      </c>
      <c r="B29" s="263" t="s">
        <v>17</v>
      </c>
      <c r="C29" s="6">
        <v>127132037.69018357</v>
      </c>
      <c r="D29" s="6">
        <v>0</v>
      </c>
      <c r="E29" s="6">
        <v>0</v>
      </c>
      <c r="F29" s="6"/>
      <c r="G29" s="6">
        <v>0</v>
      </c>
      <c r="H29" s="6"/>
      <c r="I29" s="233"/>
      <c r="J29" s="233"/>
      <c r="K29" s="233"/>
      <c r="L29" s="233"/>
      <c r="M29" s="233"/>
      <c r="N29" s="233"/>
      <c r="O29" s="233"/>
      <c r="P29" s="233"/>
      <c r="Q29" s="6"/>
      <c r="R29" s="6">
        <f t="shared" ref="R29:R43" si="3">SUM(C29:Q29)</f>
        <v>127132037.69018357</v>
      </c>
    </row>
    <row r="30" spans="1:18" x14ac:dyDescent="0.3">
      <c r="A30" s="208">
        <f t="shared" si="0"/>
        <v>18</v>
      </c>
      <c r="B30" s="261" t="s">
        <v>18</v>
      </c>
      <c r="C30" s="6">
        <v>24319869.025746707</v>
      </c>
      <c r="D30" s="6">
        <v>0</v>
      </c>
      <c r="E30" s="6">
        <v>0</v>
      </c>
      <c r="F30" s="6"/>
      <c r="G30" s="6">
        <v>0</v>
      </c>
      <c r="H30" s="6"/>
      <c r="I30" s="233"/>
      <c r="J30" s="233"/>
      <c r="K30" s="233"/>
      <c r="L30" s="233"/>
      <c r="M30" s="233"/>
      <c r="N30" s="233"/>
      <c r="O30" s="233"/>
      <c r="P30" s="233"/>
      <c r="Q30" s="6"/>
      <c r="R30" s="6">
        <f t="shared" si="3"/>
        <v>24319869.025746707</v>
      </c>
    </row>
    <row r="31" spans="1:18" x14ac:dyDescent="0.3">
      <c r="A31" s="208">
        <f t="shared" si="0"/>
        <v>19</v>
      </c>
      <c r="B31" s="261" t="s">
        <v>19</v>
      </c>
      <c r="C31" s="6">
        <v>83321444.144423828</v>
      </c>
      <c r="D31" s="6">
        <v>0</v>
      </c>
      <c r="E31" s="6">
        <v>0</v>
      </c>
      <c r="F31" s="6"/>
      <c r="G31" s="6">
        <v>0</v>
      </c>
      <c r="H31" s="6"/>
      <c r="I31" s="233"/>
      <c r="J31" s="233"/>
      <c r="K31" s="233"/>
      <c r="L31" s="233"/>
      <c r="M31" s="233"/>
      <c r="N31" s="233"/>
      <c r="O31" s="233"/>
      <c r="P31" s="233"/>
      <c r="Q31" s="6"/>
      <c r="R31" s="6">
        <f t="shared" si="3"/>
        <v>83321444.144423828</v>
      </c>
    </row>
    <row r="32" spans="1:18" x14ac:dyDescent="0.3">
      <c r="A32" s="208">
        <f t="shared" si="0"/>
        <v>20</v>
      </c>
      <c r="B32" s="261" t="s">
        <v>20</v>
      </c>
      <c r="C32" s="6">
        <v>52425058.339204527</v>
      </c>
      <c r="D32" s="6">
        <v>0</v>
      </c>
      <c r="E32" s="6">
        <v>0</v>
      </c>
      <c r="F32" s="6"/>
      <c r="G32" s="6">
        <v>0</v>
      </c>
      <c r="H32" s="6">
        <v>-154547.18586339004</v>
      </c>
      <c r="I32" s="233"/>
      <c r="J32" s="233"/>
      <c r="K32" s="233"/>
      <c r="L32" s="233"/>
      <c r="M32" s="233"/>
      <c r="N32" s="233"/>
      <c r="O32" s="233"/>
      <c r="P32" s="233"/>
      <c r="Q32" s="6">
        <f>$Q$62*Q14</f>
        <v>-6103128.1619873429</v>
      </c>
      <c r="R32" s="6">
        <f t="shared" si="3"/>
        <v>46167382.991353795</v>
      </c>
    </row>
    <row r="33" spans="1:18" x14ac:dyDescent="0.3">
      <c r="A33" s="208">
        <f t="shared" si="0"/>
        <v>21</v>
      </c>
      <c r="B33" s="261" t="s">
        <v>21</v>
      </c>
      <c r="C33" s="6">
        <v>4015681.2075902633</v>
      </c>
      <c r="D33" s="6">
        <v>0</v>
      </c>
      <c r="E33" s="6">
        <v>0</v>
      </c>
      <c r="F33" s="6"/>
      <c r="G33" s="6">
        <v>0</v>
      </c>
      <c r="H33" s="6"/>
      <c r="I33" s="233"/>
      <c r="J33" s="233"/>
      <c r="K33" s="233"/>
      <c r="L33" s="233"/>
      <c r="M33" s="233"/>
      <c r="N33" s="233"/>
      <c r="O33" s="233"/>
      <c r="P33" s="233"/>
      <c r="Q33" s="6"/>
      <c r="R33" s="6">
        <f t="shared" si="3"/>
        <v>4015681.2075902633</v>
      </c>
    </row>
    <row r="34" spans="1:18" x14ac:dyDescent="0.3">
      <c r="A34" s="208">
        <f t="shared" si="0"/>
        <v>22</v>
      </c>
      <c r="B34" s="261" t="s">
        <v>22</v>
      </c>
      <c r="C34" s="6">
        <v>0</v>
      </c>
      <c r="D34" s="6">
        <v>0</v>
      </c>
      <c r="E34" s="6">
        <v>0</v>
      </c>
      <c r="F34" s="6"/>
      <c r="G34" s="6">
        <v>0</v>
      </c>
      <c r="H34" s="6"/>
      <c r="I34" s="233"/>
      <c r="J34" s="233"/>
      <c r="K34" s="233"/>
      <c r="L34" s="233"/>
      <c r="M34" s="233"/>
      <c r="N34" s="233"/>
      <c r="O34" s="233"/>
      <c r="P34" s="233"/>
      <c r="Q34" s="6"/>
      <c r="R34" s="6">
        <f t="shared" si="3"/>
        <v>0</v>
      </c>
    </row>
    <row r="35" spans="1:18" x14ac:dyDescent="0.3">
      <c r="A35" s="208">
        <f t="shared" si="0"/>
        <v>23</v>
      </c>
      <c r="B35" s="261" t="s">
        <v>23</v>
      </c>
      <c r="C35" s="6">
        <v>125577809.3828996</v>
      </c>
      <c r="D35" s="6">
        <v>0</v>
      </c>
      <c r="E35" s="6">
        <v>0</v>
      </c>
      <c r="F35" s="6"/>
      <c r="G35" s="6">
        <v>0</v>
      </c>
      <c r="H35" s="6">
        <v>-36454.106820000008</v>
      </c>
      <c r="I35" s="233"/>
      <c r="J35" s="233"/>
      <c r="K35" s="233"/>
      <c r="L35" s="233"/>
      <c r="M35" s="233"/>
      <c r="N35" s="233"/>
      <c r="O35" s="233"/>
      <c r="P35" s="233"/>
      <c r="Q35" s="6">
        <f>Q14*Q63</f>
        <v>-1439586.7819288459</v>
      </c>
      <c r="R35" s="6">
        <f t="shared" si="3"/>
        <v>124101768.49415074</v>
      </c>
    </row>
    <row r="36" spans="1:18" x14ac:dyDescent="0.3">
      <c r="A36" s="208">
        <f t="shared" si="0"/>
        <v>24</v>
      </c>
      <c r="B36" s="261" t="s">
        <v>24</v>
      </c>
      <c r="C36" s="6">
        <v>344763758.72410965</v>
      </c>
      <c r="D36" s="6">
        <v>0</v>
      </c>
      <c r="E36" s="6">
        <v>-5699417.5924432306</v>
      </c>
      <c r="F36" s="6"/>
      <c r="G36" s="6">
        <v>2348854.8283335716</v>
      </c>
      <c r="H36" s="6"/>
      <c r="I36" s="233"/>
      <c r="J36" s="233"/>
      <c r="K36" s="233"/>
      <c r="L36" s="233"/>
      <c r="M36" s="233"/>
      <c r="N36" s="233"/>
      <c r="O36" s="233"/>
      <c r="P36" s="233">
        <v>-57000</v>
      </c>
      <c r="Q36" s="6"/>
      <c r="R36" s="233">
        <f t="shared" si="3"/>
        <v>341356195.95999998</v>
      </c>
    </row>
    <row r="37" spans="1:18" x14ac:dyDescent="0.3">
      <c r="A37" s="208">
        <f t="shared" si="0"/>
        <v>25</v>
      </c>
      <c r="B37" s="261" t="s">
        <v>25</v>
      </c>
      <c r="C37" s="6">
        <v>90992215.757837966</v>
      </c>
      <c r="D37" s="6">
        <v>0</v>
      </c>
      <c r="E37" s="6">
        <v>-15699257.697837964</v>
      </c>
      <c r="F37" s="6"/>
      <c r="G37" s="6">
        <v>0</v>
      </c>
      <c r="H37" s="6"/>
      <c r="I37" s="233"/>
      <c r="J37" s="233"/>
      <c r="K37" s="233"/>
      <c r="L37" s="233"/>
      <c r="M37" s="233"/>
      <c r="N37" s="233"/>
      <c r="O37" s="233"/>
      <c r="P37" s="233"/>
      <c r="Q37" s="6"/>
      <c r="R37" s="6">
        <f t="shared" si="3"/>
        <v>75292958.060000002</v>
      </c>
    </row>
    <row r="38" spans="1:18" x14ac:dyDescent="0.3">
      <c r="A38" s="208">
        <f t="shared" si="0"/>
        <v>26</v>
      </c>
      <c r="B38" s="263" t="s">
        <v>26</v>
      </c>
      <c r="C38" s="6">
        <v>35645161.039999902</v>
      </c>
      <c r="D38" s="6">
        <v>0</v>
      </c>
      <c r="E38" s="6">
        <v>0</v>
      </c>
      <c r="F38" s="6"/>
      <c r="G38" s="6">
        <v>0</v>
      </c>
      <c r="H38" s="6"/>
      <c r="I38" s="233"/>
      <c r="J38" s="233"/>
      <c r="K38" s="233"/>
      <c r="L38" s="233"/>
      <c r="M38" s="233"/>
      <c r="N38" s="233">
        <v>13521271.800000004</v>
      </c>
      <c r="O38" s="233">
        <v>-6016033.5165937655</v>
      </c>
      <c r="P38" s="233"/>
      <c r="Q38" s="6"/>
      <c r="R38" s="233">
        <f t="shared" si="3"/>
        <v>43150399.323406145</v>
      </c>
    </row>
    <row r="39" spans="1:18" x14ac:dyDescent="0.3">
      <c r="A39" s="208">
        <f t="shared" si="0"/>
        <v>27</v>
      </c>
      <c r="B39" s="261" t="s">
        <v>27</v>
      </c>
      <c r="C39" s="6">
        <v>9800224.150000006</v>
      </c>
      <c r="D39" s="6">
        <v>0</v>
      </c>
      <c r="E39" s="6">
        <v>0</v>
      </c>
      <c r="F39" s="6"/>
      <c r="G39" s="6">
        <v>0</v>
      </c>
      <c r="H39" s="6"/>
      <c r="I39" s="233">
        <v>-3533963.9933333327</v>
      </c>
      <c r="J39" s="233">
        <v>152047.66032121028</v>
      </c>
      <c r="K39" s="233">
        <v>5372502.2388828583</v>
      </c>
      <c r="L39" s="233">
        <v>7921689.3035694016</v>
      </c>
      <c r="M39" s="233"/>
      <c r="N39" s="233"/>
      <c r="O39" s="233">
        <v>-5503100.002442643</v>
      </c>
      <c r="P39" s="233"/>
      <c r="Q39" s="6"/>
      <c r="R39" s="233">
        <f t="shared" si="3"/>
        <v>14209399.356997501</v>
      </c>
    </row>
    <row r="40" spans="1:18" x14ac:dyDescent="0.3">
      <c r="A40" s="208">
        <f t="shared" si="0"/>
        <v>28</v>
      </c>
      <c r="B40" s="250" t="s">
        <v>28</v>
      </c>
      <c r="C40" s="6">
        <v>0</v>
      </c>
      <c r="D40" s="6">
        <v>0</v>
      </c>
      <c r="E40" s="6">
        <v>0</v>
      </c>
      <c r="F40" s="6"/>
      <c r="G40" s="6">
        <v>0</v>
      </c>
      <c r="H40" s="6"/>
      <c r="I40" s="233"/>
      <c r="J40" s="233"/>
      <c r="K40" s="233"/>
      <c r="L40" s="233"/>
      <c r="M40" s="233"/>
      <c r="N40" s="233"/>
      <c r="O40" s="233"/>
      <c r="P40" s="233"/>
      <c r="Q40" s="6"/>
      <c r="R40" s="6">
        <f t="shared" si="3"/>
        <v>0</v>
      </c>
    </row>
    <row r="41" spans="1:18" x14ac:dyDescent="0.3">
      <c r="A41" s="208">
        <f t="shared" si="0"/>
        <v>29</v>
      </c>
      <c r="B41" s="261" t="s">
        <v>29</v>
      </c>
      <c r="C41" s="6">
        <v>87819469.416737348</v>
      </c>
      <c r="D41" s="6">
        <v>0</v>
      </c>
      <c r="E41" s="6">
        <v>0</v>
      </c>
      <c r="F41" s="6"/>
      <c r="G41" s="6">
        <v>0</v>
      </c>
      <c r="H41" s="6">
        <v>-700028.21326446021</v>
      </c>
      <c r="I41" s="233"/>
      <c r="J41" s="233"/>
      <c r="K41" s="233"/>
      <c r="L41" s="233"/>
      <c r="M41" s="233"/>
      <c r="N41" s="233"/>
      <c r="O41" s="233"/>
      <c r="P41" s="233"/>
      <c r="Q41" s="6">
        <f>-'Other Taxes'!B16</f>
        <v>-29077730.348379631</v>
      </c>
      <c r="R41" s="6">
        <f t="shared" si="3"/>
        <v>58041710.855093256</v>
      </c>
    </row>
    <row r="42" spans="1:18" x14ac:dyDescent="0.3">
      <c r="A42" s="208">
        <f t="shared" si="0"/>
        <v>30</v>
      </c>
      <c r="B42" s="261" t="s">
        <v>30</v>
      </c>
      <c r="C42" s="233">
        <v>83562049.687176332</v>
      </c>
      <c r="D42" s="6">
        <v>0</v>
      </c>
      <c r="E42" s="6">
        <v>4493721.8109590504</v>
      </c>
      <c r="F42" s="6"/>
      <c r="G42" s="6">
        <v>-680428.34983163839</v>
      </c>
      <c r="H42" s="6">
        <f>SUM(H18,-SUM(H32:H41))*0.21</f>
        <v>-3640565.0198509521</v>
      </c>
      <c r="I42" s="233">
        <v>742132.43859999988</v>
      </c>
      <c r="J42" s="233">
        <v>-31930.008667454156</v>
      </c>
      <c r="K42" s="233">
        <f>-K39*0.21</f>
        <v>-1128225.4701654003</v>
      </c>
      <c r="L42" s="233">
        <f>-L39*0.21</f>
        <v>-1663554.7537495743</v>
      </c>
      <c r="M42" s="233" t="s">
        <v>257</v>
      </c>
      <c r="N42" s="233">
        <v>-2839467.0780000007</v>
      </c>
      <c r="O42" s="233">
        <v>2419018.0389976455</v>
      </c>
      <c r="P42" s="233">
        <v>11970</v>
      </c>
      <c r="Q42" s="6">
        <f>SUM(Q18-SUM(Q27:Q41))*Q65</f>
        <v>2824137.875575955</v>
      </c>
      <c r="R42" s="233">
        <f t="shared" si="3"/>
        <v>84068859.171043977</v>
      </c>
    </row>
    <row r="43" spans="1:18" x14ac:dyDescent="0.3">
      <c r="A43" s="208">
        <f t="shared" si="0"/>
        <v>31</v>
      </c>
      <c r="B43" s="250" t="s">
        <v>31</v>
      </c>
      <c r="C43" s="6">
        <v>-51808800.905295342</v>
      </c>
      <c r="D43" s="6">
        <v>0</v>
      </c>
      <c r="E43" s="6">
        <v>0</v>
      </c>
      <c r="F43" s="6"/>
      <c r="G43" s="6">
        <v>0</v>
      </c>
      <c r="H43" s="6"/>
      <c r="I43" s="233"/>
      <c r="J43" s="233"/>
      <c r="K43" s="233"/>
      <c r="L43" s="233"/>
      <c r="M43" s="233" t="s">
        <v>257</v>
      </c>
      <c r="N43" s="233"/>
      <c r="O43" s="233"/>
      <c r="P43" s="233"/>
      <c r="Q43" s="6"/>
      <c r="R43" s="6">
        <f t="shared" si="3"/>
        <v>-51808800.905295342</v>
      </c>
    </row>
    <row r="44" spans="1:18" x14ac:dyDescent="0.3">
      <c r="A44" s="208">
        <f t="shared" si="0"/>
        <v>32</v>
      </c>
      <c r="B44" s="261" t="s">
        <v>32</v>
      </c>
      <c r="C44" s="230">
        <f t="shared" ref="C44:R44" si="4">SUM(C27:C43)</f>
        <v>1938991133.1507223</v>
      </c>
      <c r="D44" s="230">
        <f t="shared" si="4"/>
        <v>0</v>
      </c>
      <c r="E44" s="230">
        <f t="shared" si="4"/>
        <v>-16904953.479322143</v>
      </c>
      <c r="F44" s="230">
        <f t="shared" si="4"/>
        <v>0</v>
      </c>
      <c r="G44" s="230">
        <f t="shared" si="4"/>
        <v>1668426.4785019332</v>
      </c>
      <c r="H44" s="230">
        <f t="shared" si="4"/>
        <v>-4531594.5257988023</v>
      </c>
      <c r="I44" s="239">
        <f t="shared" ref="I44:O44" si="5">SUM(I27:I43)</f>
        <v>-2791831.5547333327</v>
      </c>
      <c r="J44" s="239">
        <f t="shared" si="5"/>
        <v>120117.65165375613</v>
      </c>
      <c r="K44" s="239">
        <f t="shared" ref="K44:L44" si="6">SUM(K27:K43)</f>
        <v>4244276.7687174585</v>
      </c>
      <c r="L44" s="239">
        <f t="shared" si="6"/>
        <v>6258134.5498198271</v>
      </c>
      <c r="M44" s="239">
        <f t="shared" si="5"/>
        <v>0</v>
      </c>
      <c r="N44" s="239">
        <f t="shared" si="5"/>
        <v>10681804.722000003</v>
      </c>
      <c r="O44" s="239">
        <f t="shared" si="5"/>
        <v>-9100115.4800387621</v>
      </c>
      <c r="P44" s="239">
        <f t="shared" ref="P44" si="7">SUM(P27:P43)</f>
        <v>-45030</v>
      </c>
      <c r="Q44" s="230">
        <f t="shared" si="4"/>
        <v>-955221462.90682781</v>
      </c>
      <c r="R44" s="229">
        <f t="shared" si="4"/>
        <v>973368905.37469435</v>
      </c>
    </row>
    <row r="45" spans="1:18" x14ac:dyDescent="0.3">
      <c r="A45" s="208">
        <f t="shared" si="0"/>
        <v>33</v>
      </c>
      <c r="B45" s="250"/>
      <c r="C45" s="230"/>
      <c r="D45" s="230"/>
      <c r="E45" s="230"/>
      <c r="F45" s="230"/>
      <c r="G45" s="230"/>
      <c r="H45" s="230"/>
      <c r="I45" s="239"/>
      <c r="J45" s="239"/>
      <c r="K45" s="239"/>
      <c r="L45" s="239"/>
      <c r="M45" s="239"/>
      <c r="N45" s="239"/>
      <c r="O45" s="239"/>
      <c r="P45" s="239"/>
      <c r="Q45" s="230"/>
      <c r="R45" s="230"/>
    </row>
    <row r="46" spans="1:18" ht="15" thickBot="1" x14ac:dyDescent="0.35">
      <c r="A46" s="208">
        <f t="shared" si="0"/>
        <v>34</v>
      </c>
      <c r="B46" s="250" t="s">
        <v>33</v>
      </c>
      <c r="C46" s="240">
        <f t="shared" ref="C46:R46" si="8">C18-C44</f>
        <v>363119485.51050973</v>
      </c>
      <c r="D46" s="241">
        <f t="shared" si="8"/>
        <v>0</v>
      </c>
      <c r="E46" s="241">
        <f t="shared" si="8"/>
        <v>16904953.479322143</v>
      </c>
      <c r="F46" s="241">
        <f t="shared" si="8"/>
        <v>0</v>
      </c>
      <c r="G46" s="241">
        <f t="shared" si="8"/>
        <v>-1668426.4785019332</v>
      </c>
      <c r="H46" s="241">
        <f t="shared" ref="H46:Q46" si="9">H18-H44</f>
        <v>-13695458.884201203</v>
      </c>
      <c r="I46" s="240">
        <f t="shared" ref="I46:O46" si="10">I18-I44</f>
        <v>2791831.5547333327</v>
      </c>
      <c r="J46" s="240">
        <f t="shared" si="10"/>
        <v>-120117.65165375613</v>
      </c>
      <c r="K46" s="240">
        <f t="shared" ref="K46:L46" si="11">K18-K44</f>
        <v>-4244276.7687174585</v>
      </c>
      <c r="L46" s="240">
        <f t="shared" si="11"/>
        <v>-6258134.5498198271</v>
      </c>
      <c r="M46" s="240">
        <f t="shared" si="10"/>
        <v>0</v>
      </c>
      <c r="N46" s="240">
        <f t="shared" si="10"/>
        <v>-10681804.722000003</v>
      </c>
      <c r="O46" s="240">
        <f t="shared" si="10"/>
        <v>9100115.4800387621</v>
      </c>
      <c r="P46" s="240">
        <f t="shared" ref="P46" si="12">P18-P44</f>
        <v>45030</v>
      </c>
      <c r="Q46" s="241">
        <f t="shared" si="9"/>
        <v>10624137.722404838</v>
      </c>
      <c r="R46" s="240">
        <f t="shared" si="8"/>
        <v>365917334.69211483</v>
      </c>
    </row>
    <row r="47" spans="1:18" ht="15" thickTop="1" x14ac:dyDescent="0.3">
      <c r="A47" s="208">
        <f t="shared" si="0"/>
        <v>35</v>
      </c>
      <c r="B47" s="2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3">
      <c r="A48" s="208">
        <f t="shared" si="0"/>
        <v>36</v>
      </c>
      <c r="B48" s="261" t="s">
        <v>34</v>
      </c>
      <c r="C48" s="5">
        <f>C59</f>
        <v>5361846611.3354149</v>
      </c>
      <c r="D48" s="5">
        <f t="shared" ref="D48" si="13">D59</f>
        <v>-182818242.10345364</v>
      </c>
      <c r="E48" s="5">
        <f t="shared" ref="E48" si="14">E59</f>
        <v>16904953.479322143</v>
      </c>
      <c r="F48" s="5">
        <f t="shared" ref="F48:Q48" si="15">F59</f>
        <v>-71166.489999999991</v>
      </c>
      <c r="G48" s="5">
        <f t="shared" si="15"/>
        <v>11018406.688827798</v>
      </c>
      <c r="H48" s="5">
        <f t="shared" si="15"/>
        <v>0</v>
      </c>
      <c r="I48" s="5">
        <f t="shared" si="15"/>
        <v>0</v>
      </c>
      <c r="J48" s="5">
        <f t="shared" si="15"/>
        <v>0</v>
      </c>
      <c r="K48" s="228">
        <f t="shared" ref="K48:L48" si="16">K59</f>
        <v>8437412.4148384705</v>
      </c>
      <c r="L48" s="228">
        <f t="shared" si="16"/>
        <v>15024091.975795627</v>
      </c>
      <c r="M48" s="228">
        <f t="shared" si="15"/>
        <v>0</v>
      </c>
      <c r="N48" s="228">
        <f t="shared" si="15"/>
        <v>0</v>
      </c>
      <c r="O48" s="228">
        <f t="shared" si="15"/>
        <v>-23391891.903797138</v>
      </c>
      <c r="P48" s="5"/>
      <c r="Q48" s="5">
        <f t="shared" si="15"/>
        <v>0</v>
      </c>
      <c r="R48" s="228">
        <f>SUM(C48:Q48)</f>
        <v>5206950175.3969488</v>
      </c>
    </row>
    <row r="49" spans="1:18" x14ac:dyDescent="0.3">
      <c r="A49" s="208">
        <f t="shared" si="0"/>
        <v>37</v>
      </c>
      <c r="B49" s="25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3">
      <c r="A50" s="208">
        <f t="shared" si="0"/>
        <v>38</v>
      </c>
      <c r="B50" s="261" t="s">
        <v>35</v>
      </c>
      <c r="C50" s="245">
        <f>C46/C48</f>
        <v>6.772284099713767E-2</v>
      </c>
      <c r="D50" s="245">
        <f>SUM($C46:D46)/SUM($C59:D59)-SUM($C50:C50)</f>
        <v>2.3905972044683949E-3</v>
      </c>
      <c r="E50" s="245">
        <f>SUM($C46:E46)/SUM($C59:E59)-SUM($C50:D50)</f>
        <v>3.0253831394522063E-3</v>
      </c>
      <c r="F50" s="245">
        <f>SUM($C46:F46)/SUM($C59:F59)-SUM($C50:E50)</f>
        <v>1.0017650663302069E-6</v>
      </c>
      <c r="G50" s="245">
        <f>SUM($C46:G46)/SUM($C59:G59)-SUM($C50:F50)</f>
        <v>-4.7520022108039905E-4</v>
      </c>
      <c r="H50" s="245">
        <f>SUM($C46:H46)/SUM($C59:H59)-SUM($C50:G50)</f>
        <v>-2.6302617697354785E-3</v>
      </c>
      <c r="I50" s="245">
        <f>SUM($C46:I46)/SUM($C59:I59)-SUM($C50:H50)</f>
        <v>5.3618121656567874E-4</v>
      </c>
      <c r="J50" s="245">
        <f>SUM($C46:J46)/SUM($C59:J59)-SUM($C50:I50)</f>
        <v>-2.3069023804653255E-5</v>
      </c>
      <c r="K50" s="245">
        <f>SUM($C46:K46)/SUM($C59:K59)-SUM($C50:J50)</f>
        <v>-9.2794244161899242E-4</v>
      </c>
      <c r="L50" s="245">
        <f>SUM($C46:L46)/SUM($C59:L59)-SUM($C50:K50)</f>
        <v>-1.396487015740952E-3</v>
      </c>
      <c r="M50" s="245">
        <f>SUM($C46:M46)/SUM($C59:M59)-SUM($C50:J50)</f>
        <v>-2.3244294573599444E-3</v>
      </c>
      <c r="N50" s="245">
        <f>SUM($C46:N46)/SUM($C59:N59)-SUM($C50:M50)</f>
        <v>2.821529514348553E-4</v>
      </c>
      <c r="O50" s="245">
        <f>SUM($C46:O46)/SUM($C59:O59)-SUM($C50:N50)</f>
        <v>2.0449991794028594E-3</v>
      </c>
      <c r="P50" s="245"/>
      <c r="Q50" s="245">
        <f>SUM($C46:Q46)/SUM($C59:Q59)-SUM($C50:O50)</f>
        <v>2.0564481279383845E-3</v>
      </c>
      <c r="R50" s="245">
        <f>R46/R48</f>
        <v>7.0274790878754531E-2</v>
      </c>
    </row>
    <row r="51" spans="1:18" x14ac:dyDescent="0.3">
      <c r="A51" s="208">
        <f t="shared" si="0"/>
        <v>39</v>
      </c>
      <c r="B51" s="250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3">
      <c r="A52" s="208">
        <f t="shared" si="0"/>
        <v>40</v>
      </c>
      <c r="B52" s="250" t="s">
        <v>36</v>
      </c>
      <c r="R52" s="6"/>
    </row>
    <row r="53" spans="1:18" x14ac:dyDescent="0.3">
      <c r="A53" s="208">
        <f t="shared" si="0"/>
        <v>41</v>
      </c>
      <c r="B53" s="264" t="s">
        <v>37</v>
      </c>
      <c r="C53" s="228">
        <v>10893779511.39728</v>
      </c>
      <c r="D53" s="5">
        <v>-326078876.75844002</v>
      </c>
      <c r="E53" s="5">
        <v>0</v>
      </c>
      <c r="F53" s="5">
        <v>-303</v>
      </c>
      <c r="G53" s="5">
        <v>0</v>
      </c>
      <c r="H53" s="5">
        <v>0</v>
      </c>
      <c r="I53" s="5"/>
      <c r="J53" s="5"/>
      <c r="K53" s="228"/>
      <c r="L53" s="228"/>
      <c r="M53" s="228"/>
      <c r="N53" s="228"/>
      <c r="O53" s="228"/>
      <c r="P53" s="228">
        <v>-3209000</v>
      </c>
      <c r="Q53" s="5">
        <v>0</v>
      </c>
      <c r="R53" s="228">
        <f t="shared" ref="R53:R58" si="17">SUM(C53:Q53)</f>
        <v>10564491331.63884</v>
      </c>
    </row>
    <row r="54" spans="1:18" x14ac:dyDescent="0.3">
      <c r="A54" s="208">
        <f t="shared" si="0"/>
        <v>42</v>
      </c>
      <c r="B54" s="264" t="s">
        <v>38</v>
      </c>
      <c r="C54" s="6">
        <v>-4424391593.9403849</v>
      </c>
      <c r="D54" s="6">
        <v>143742277.5314436</v>
      </c>
      <c r="E54" s="6">
        <v>21398675.290281195</v>
      </c>
      <c r="F54" s="6">
        <v>-105796</v>
      </c>
      <c r="G54" s="6">
        <v>16445383.11765343</v>
      </c>
      <c r="H54" s="6">
        <v>0</v>
      </c>
      <c r="I54" s="6"/>
      <c r="J54" s="6"/>
      <c r="K54" s="233"/>
      <c r="L54" s="233"/>
      <c r="M54" s="233"/>
      <c r="N54" s="233"/>
      <c r="O54" s="233"/>
      <c r="P54" s="233">
        <v>2659000</v>
      </c>
      <c r="Q54" s="6">
        <v>0</v>
      </c>
      <c r="R54" s="233">
        <f t="shared" si="17"/>
        <v>-4240252054.0010066</v>
      </c>
    </row>
    <row r="55" spans="1:18" x14ac:dyDescent="0.3">
      <c r="A55" s="208">
        <f t="shared" si="0"/>
        <v>43</v>
      </c>
      <c r="B55" s="250" t="s">
        <v>39</v>
      </c>
      <c r="C55" s="6">
        <v>273144103.32999998</v>
      </c>
      <c r="D55" s="6">
        <v>12697238.698333323</v>
      </c>
      <c r="E55" s="6">
        <v>0</v>
      </c>
      <c r="F55" s="6"/>
      <c r="G55" s="6">
        <v>0</v>
      </c>
      <c r="H55" s="6">
        <v>0</v>
      </c>
      <c r="I55" s="6"/>
      <c r="J55" s="6"/>
      <c r="K55" s="233">
        <v>10680268.879542366</v>
      </c>
      <c r="L55" s="233">
        <v>19017837.9440451</v>
      </c>
      <c r="M55" s="233"/>
      <c r="N55" s="233"/>
      <c r="O55" s="233">
        <v>-31039847.298310034</v>
      </c>
      <c r="P55" s="233"/>
      <c r="Q55" s="6">
        <v>0</v>
      </c>
      <c r="R55" s="233">
        <f t="shared" si="17"/>
        <v>284499601.55361074</v>
      </c>
    </row>
    <row r="56" spans="1:18" x14ac:dyDescent="0.3">
      <c r="A56" s="208">
        <f t="shared" si="0"/>
        <v>44</v>
      </c>
      <c r="B56" s="250" t="s">
        <v>40</v>
      </c>
      <c r="C56" s="233">
        <v>-1409969845.9061673</v>
      </c>
      <c r="D56" s="6">
        <v>-22974386.588703156</v>
      </c>
      <c r="E56" s="6">
        <v>-4493721.8109590504</v>
      </c>
      <c r="F56" s="6">
        <v>34932.510000000009</v>
      </c>
      <c r="G56" s="6">
        <v>-5426976.4288256317</v>
      </c>
      <c r="H56" s="6">
        <v>0</v>
      </c>
      <c r="I56" s="6"/>
      <c r="J56" s="6"/>
      <c r="K56" s="233">
        <v>-2242856.4647038952</v>
      </c>
      <c r="L56" s="233">
        <v>-3993745.9682494728</v>
      </c>
      <c r="M56" s="233"/>
      <c r="N56" s="233"/>
      <c r="O56" s="233">
        <v>7647955.3945128955</v>
      </c>
      <c r="P56" s="233"/>
      <c r="Q56" s="6">
        <v>0</v>
      </c>
      <c r="R56" s="233">
        <f t="shared" si="17"/>
        <v>-1441418645.2630956</v>
      </c>
    </row>
    <row r="57" spans="1:18" x14ac:dyDescent="0.3">
      <c r="A57" s="208">
        <f t="shared" si="0"/>
        <v>45</v>
      </c>
      <c r="B57" s="250" t="s">
        <v>41</v>
      </c>
      <c r="C57" s="233">
        <v>137375215.94916266</v>
      </c>
      <c r="D57" s="6">
        <v>7927989.0496875346</v>
      </c>
      <c r="E57" s="6">
        <v>0</v>
      </c>
      <c r="F57" s="6"/>
      <c r="G57" s="6">
        <v>0</v>
      </c>
      <c r="H57" s="6">
        <v>0</v>
      </c>
      <c r="I57" s="6"/>
      <c r="J57" s="6"/>
      <c r="K57" s="233"/>
      <c r="L57" s="233"/>
      <c r="M57" s="233"/>
      <c r="N57" s="233"/>
      <c r="O57" s="233"/>
      <c r="P57" s="233"/>
      <c r="Q57" s="6">
        <v>0</v>
      </c>
      <c r="R57" s="6">
        <f t="shared" si="17"/>
        <v>145303204.9988502</v>
      </c>
    </row>
    <row r="58" spans="1:18" x14ac:dyDescent="0.3">
      <c r="A58" s="208">
        <f t="shared" si="0"/>
        <v>46</v>
      </c>
      <c r="B58" s="250" t="s">
        <v>42</v>
      </c>
      <c r="C58" s="6">
        <v>-108090779.49447501</v>
      </c>
      <c r="D58" s="6">
        <v>1867515.9642250985</v>
      </c>
      <c r="E58" s="6">
        <v>0</v>
      </c>
      <c r="F58" s="6"/>
      <c r="G58" s="6">
        <v>0</v>
      </c>
      <c r="H58" s="6">
        <v>0</v>
      </c>
      <c r="I58" s="6"/>
      <c r="J58" s="6"/>
      <c r="K58" s="6"/>
      <c r="L58" s="6"/>
      <c r="M58" s="6"/>
      <c r="N58" s="6"/>
      <c r="O58" s="6"/>
      <c r="P58" s="6"/>
      <c r="Q58" s="6">
        <v>0</v>
      </c>
      <c r="R58" s="6">
        <f t="shared" si="17"/>
        <v>-106223263.53024991</v>
      </c>
    </row>
    <row r="59" spans="1:18" ht="15" thickBot="1" x14ac:dyDescent="0.35">
      <c r="A59" s="208">
        <f t="shared" si="0"/>
        <v>47</v>
      </c>
      <c r="B59" s="250" t="s">
        <v>43</v>
      </c>
      <c r="C59" s="248">
        <f t="shared" ref="C59:R59" si="18">SUM(C53:C58)</f>
        <v>5361846611.3354149</v>
      </c>
      <c r="D59" s="248">
        <f t="shared" si="18"/>
        <v>-182818242.10345364</v>
      </c>
      <c r="E59" s="7">
        <f t="shared" si="18"/>
        <v>16904953.479322143</v>
      </c>
      <c r="F59" s="7">
        <f t="shared" si="18"/>
        <v>-71166.489999999991</v>
      </c>
      <c r="G59" s="7">
        <f t="shared" si="18"/>
        <v>11018406.688827798</v>
      </c>
      <c r="H59" s="7">
        <f t="shared" si="18"/>
        <v>0</v>
      </c>
      <c r="I59" s="7">
        <f t="shared" si="18"/>
        <v>0</v>
      </c>
      <c r="J59" s="7">
        <f t="shared" si="18"/>
        <v>0</v>
      </c>
      <c r="K59" s="248">
        <f t="shared" si="18"/>
        <v>8437412.4148384705</v>
      </c>
      <c r="L59" s="248">
        <f t="shared" si="18"/>
        <v>15024091.975795627</v>
      </c>
      <c r="M59" s="7">
        <f t="shared" si="18"/>
        <v>0</v>
      </c>
      <c r="N59" s="7">
        <f t="shared" si="18"/>
        <v>0</v>
      </c>
      <c r="O59" s="248">
        <f t="shared" si="18"/>
        <v>-23391891.903797138</v>
      </c>
      <c r="P59" s="248">
        <f t="shared" si="18"/>
        <v>-550000</v>
      </c>
      <c r="Q59" s="7">
        <f t="shared" si="18"/>
        <v>0</v>
      </c>
      <c r="R59" s="248">
        <f t="shared" si="18"/>
        <v>5206400175.3969479</v>
      </c>
    </row>
    <row r="60" spans="1:18" ht="15" thickTop="1" x14ac:dyDescent="0.3">
      <c r="D60" s="265"/>
      <c r="Q60" s="249" t="s">
        <v>256</v>
      </c>
      <c r="R60" s="265">
        <v>5206400175.4345322</v>
      </c>
    </row>
    <row r="61" spans="1:18" x14ac:dyDescent="0.3">
      <c r="C61" s="265"/>
      <c r="H61" s="250"/>
      <c r="I61" s="250"/>
      <c r="J61" s="250"/>
      <c r="K61" s="250"/>
      <c r="L61" s="250"/>
      <c r="M61" s="250"/>
      <c r="N61" s="250"/>
      <c r="O61" s="250"/>
      <c r="P61" s="250"/>
      <c r="Q61" s="249" t="s">
        <v>256</v>
      </c>
      <c r="R61" s="265">
        <f>+R60-R59</f>
        <v>3.7584304809570313E-2</v>
      </c>
    </row>
    <row r="62" spans="1:18" x14ac:dyDescent="0.3">
      <c r="H62" s="250"/>
      <c r="I62" s="250"/>
      <c r="J62" s="250"/>
      <c r="K62" s="250"/>
      <c r="L62" s="250"/>
      <c r="M62" s="250"/>
      <c r="N62" s="250"/>
      <c r="O62" s="266"/>
      <c r="P62" s="266"/>
      <c r="Q62" s="251">
        <v>8.4790000000000004E-3</v>
      </c>
    </row>
    <row r="63" spans="1:18" x14ac:dyDescent="0.3">
      <c r="H63" s="250"/>
      <c r="I63" s="250"/>
      <c r="J63" s="250"/>
      <c r="K63" s="250"/>
      <c r="L63" s="250"/>
      <c r="M63" s="250"/>
      <c r="N63" s="250"/>
      <c r="O63" s="266"/>
      <c r="P63" s="266"/>
      <c r="Q63" s="251">
        <v>2E-3</v>
      </c>
    </row>
    <row r="64" spans="1:18" x14ac:dyDescent="0.3">
      <c r="H64" s="250"/>
      <c r="I64" s="250"/>
      <c r="J64" s="250"/>
      <c r="K64" s="250"/>
      <c r="L64" s="250"/>
      <c r="M64" s="250"/>
      <c r="N64" s="250"/>
      <c r="O64" s="250"/>
      <c r="P64" s="250"/>
      <c r="Q64" s="251">
        <v>3.8406000000000003E-2</v>
      </c>
    </row>
    <row r="65" spans="7:18" x14ac:dyDescent="0.3">
      <c r="H65" s="250"/>
      <c r="I65" s="250"/>
      <c r="J65" s="250"/>
      <c r="K65" s="250"/>
      <c r="L65" s="250"/>
      <c r="M65" s="250"/>
      <c r="N65" s="250"/>
      <c r="O65" s="250"/>
      <c r="P65" s="250"/>
      <c r="Q65" s="252">
        <v>0.21</v>
      </c>
    </row>
    <row r="67" spans="7:18" x14ac:dyDescent="0.3"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>
        <f>+'Exh p1'!N56-Q56</f>
        <v>0</v>
      </c>
      <c r="R67" s="267"/>
    </row>
  </sheetData>
  <pageMargins left="0.2" right="0.2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pane xSplit="2" ySplit="12" topLeftCell="F4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4.4" outlineLevelRow="1" x14ac:dyDescent="0.3"/>
  <cols>
    <col min="1" max="1" width="5.44140625" style="22" customWidth="1"/>
    <col min="2" max="2" width="51" style="22" bestFit="1" customWidth="1"/>
    <col min="3" max="3" width="15.109375" style="22" bestFit="1" customWidth="1"/>
    <col min="4" max="4" width="14.33203125" style="22" bestFit="1" customWidth="1"/>
    <col min="5" max="5" width="14.44140625" style="22" bestFit="1" customWidth="1"/>
    <col min="6" max="10" width="14.44140625" style="22" customWidth="1"/>
    <col min="11" max="11" width="16" style="22" bestFit="1" customWidth="1"/>
    <col min="12" max="12" width="14.44140625" style="22" customWidth="1"/>
    <col min="13" max="13" width="15.109375" style="22" bestFit="1" customWidth="1"/>
    <col min="14" max="14" width="9.88671875" style="22" bestFit="1" customWidth="1"/>
    <col min="15" max="15" width="16" style="22" bestFit="1" customWidth="1"/>
    <col min="16" max="16" width="17.6640625" style="22" bestFit="1" customWidth="1"/>
    <col min="17" max="17" width="12.33203125" style="22" bestFit="1" customWidth="1"/>
    <col min="18" max="18" width="16.88671875" style="22" bestFit="1" customWidth="1"/>
    <col min="19" max="16384" width="9.109375" style="22"/>
  </cols>
  <sheetData>
    <row r="1" spans="1:14" x14ac:dyDescent="0.3">
      <c r="A1" s="15" t="s">
        <v>0</v>
      </c>
      <c r="B1" s="16"/>
      <c r="L1" s="17" t="s">
        <v>206</v>
      </c>
      <c r="M1" s="18"/>
    </row>
    <row r="2" spans="1:14" x14ac:dyDescent="0.3">
      <c r="A2" s="15" t="s">
        <v>200</v>
      </c>
      <c r="B2" s="16"/>
    </row>
    <row r="3" spans="1:14" x14ac:dyDescent="0.3">
      <c r="A3" s="15" t="s">
        <v>155</v>
      </c>
      <c r="B3" s="16"/>
    </row>
    <row r="4" spans="1:14" x14ac:dyDescent="0.3">
      <c r="A4" s="19" t="s">
        <v>154</v>
      </c>
      <c r="B4" s="16"/>
      <c r="C4" s="208" t="s">
        <v>59</v>
      </c>
      <c r="D4" s="208" t="s">
        <v>60</v>
      </c>
      <c r="E4" s="208" t="s">
        <v>61</v>
      </c>
      <c r="F4" s="208" t="s">
        <v>159</v>
      </c>
      <c r="G4" s="208" t="s">
        <v>74</v>
      </c>
      <c r="H4" s="208" t="s">
        <v>201</v>
      </c>
      <c r="I4" s="208" t="s">
        <v>202</v>
      </c>
      <c r="J4" s="208" t="s">
        <v>203</v>
      </c>
      <c r="K4" s="208" t="s">
        <v>253</v>
      </c>
      <c r="L4" s="208" t="s">
        <v>254</v>
      </c>
      <c r="M4" s="208" t="s">
        <v>255</v>
      </c>
      <c r="N4" s="208"/>
    </row>
    <row r="5" spans="1:14" hidden="1" outlineLevel="1" x14ac:dyDescent="0.3">
      <c r="A5" s="20"/>
      <c r="B5" s="16"/>
    </row>
    <row r="6" spans="1:14" collapsed="1" x14ac:dyDescent="0.3">
      <c r="A6" s="16"/>
      <c r="B6" s="16"/>
      <c r="D6" s="209" t="s">
        <v>184</v>
      </c>
      <c r="E6" s="210"/>
      <c r="F6" s="211" t="s">
        <v>181</v>
      </c>
      <c r="G6" s="211"/>
      <c r="H6" s="211"/>
      <c r="I6" s="211"/>
      <c r="J6" s="211"/>
      <c r="K6" s="211"/>
      <c r="L6" s="211" t="s">
        <v>48</v>
      </c>
    </row>
    <row r="7" spans="1:14" x14ac:dyDescent="0.3">
      <c r="A7" s="16"/>
      <c r="B7" s="16"/>
      <c r="D7" s="212" t="s">
        <v>183</v>
      </c>
      <c r="E7" s="213"/>
      <c r="F7" s="214" t="s">
        <v>182</v>
      </c>
      <c r="G7" s="214"/>
      <c r="H7" s="214"/>
      <c r="I7" s="214"/>
      <c r="J7" s="214"/>
      <c r="K7" s="214"/>
      <c r="L7" s="214" t="s">
        <v>191</v>
      </c>
    </row>
    <row r="8" spans="1:14" x14ac:dyDescent="0.3">
      <c r="A8" s="16"/>
      <c r="B8" s="16"/>
      <c r="C8" s="215"/>
      <c r="D8" s="216" t="s">
        <v>180</v>
      </c>
      <c r="E8" s="217"/>
      <c r="F8" s="218" t="s">
        <v>180</v>
      </c>
      <c r="G8" s="219"/>
      <c r="H8" s="219"/>
      <c r="I8" s="219"/>
      <c r="J8" s="219"/>
      <c r="K8" s="220"/>
      <c r="L8" s="221" t="s">
        <v>192</v>
      </c>
      <c r="M8" s="215"/>
    </row>
    <row r="9" spans="1:14" x14ac:dyDescent="0.3">
      <c r="A9" s="16"/>
      <c r="B9" s="16"/>
      <c r="C9" s="215" t="s">
        <v>44</v>
      </c>
      <c r="D9" s="215" t="s">
        <v>193</v>
      </c>
      <c r="E9" s="215" t="s">
        <v>194</v>
      </c>
      <c r="F9" s="215" t="s">
        <v>197</v>
      </c>
      <c r="G9" s="215" t="s">
        <v>258</v>
      </c>
      <c r="H9" s="215" t="s">
        <v>259</v>
      </c>
      <c r="I9" s="215" t="s">
        <v>275</v>
      </c>
      <c r="J9" s="215" t="s">
        <v>276</v>
      </c>
      <c r="K9" s="215" t="s">
        <v>260</v>
      </c>
      <c r="L9" s="215"/>
      <c r="M9" s="215"/>
    </row>
    <row r="10" spans="1:14" x14ac:dyDescent="0.3">
      <c r="A10" s="222" t="s">
        <v>1</v>
      </c>
      <c r="B10" s="222" t="s">
        <v>2</v>
      </c>
      <c r="C10" s="215" t="s">
        <v>45</v>
      </c>
      <c r="D10" s="215" t="s">
        <v>51</v>
      </c>
      <c r="E10" s="215" t="s">
        <v>51</v>
      </c>
      <c r="F10" s="215" t="s">
        <v>178</v>
      </c>
      <c r="G10" s="215" t="s">
        <v>241</v>
      </c>
      <c r="H10" s="215" t="s">
        <v>242</v>
      </c>
      <c r="I10" s="215" t="s">
        <v>269</v>
      </c>
      <c r="J10" s="215" t="s">
        <v>277</v>
      </c>
      <c r="K10" s="215" t="s">
        <v>243</v>
      </c>
      <c r="L10" s="215"/>
      <c r="M10" s="215" t="s">
        <v>163</v>
      </c>
    </row>
    <row r="11" spans="1:14" x14ac:dyDescent="0.3">
      <c r="A11" s="223" t="s">
        <v>3</v>
      </c>
      <c r="B11" s="21"/>
      <c r="C11" s="224" t="s">
        <v>46</v>
      </c>
      <c r="D11" s="224" t="s">
        <v>49</v>
      </c>
      <c r="E11" s="224" t="s">
        <v>24</v>
      </c>
      <c r="F11" s="224" t="s">
        <v>179</v>
      </c>
      <c r="G11" s="224" t="s">
        <v>25</v>
      </c>
      <c r="H11" s="224" t="s">
        <v>25</v>
      </c>
      <c r="I11" s="224" t="s">
        <v>179</v>
      </c>
      <c r="J11" s="224" t="s">
        <v>179</v>
      </c>
      <c r="K11" s="224" t="s">
        <v>246</v>
      </c>
      <c r="L11" s="224"/>
      <c r="M11" s="224" t="s">
        <v>164</v>
      </c>
    </row>
    <row r="12" spans="1:14" x14ac:dyDescent="0.3">
      <c r="A12" s="16"/>
      <c r="B12" s="16"/>
      <c r="C12" s="225" t="s">
        <v>172</v>
      </c>
      <c r="D12" s="225" t="s">
        <v>172</v>
      </c>
      <c r="E12" s="225" t="s">
        <v>172</v>
      </c>
      <c r="F12" s="225" t="s">
        <v>198</v>
      </c>
      <c r="G12" s="225" t="s">
        <v>270</v>
      </c>
      <c r="H12" s="225" t="s">
        <v>271</v>
      </c>
      <c r="I12" s="225" t="s">
        <v>272</v>
      </c>
      <c r="J12" s="225" t="s">
        <v>273</v>
      </c>
      <c r="K12" s="225" t="s">
        <v>274</v>
      </c>
      <c r="L12" s="225" t="s">
        <v>207</v>
      </c>
    </row>
    <row r="13" spans="1:14" x14ac:dyDescent="0.3">
      <c r="A13" s="226">
        <v>1</v>
      </c>
      <c r="B13" s="227" t="s">
        <v>4</v>
      </c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4" x14ac:dyDescent="0.3">
      <c r="A14" s="226">
        <f t="shared" ref="A14:A56" si="0">A13+1</f>
        <v>2</v>
      </c>
      <c r="B14" s="227" t="s">
        <v>5</v>
      </c>
      <c r="C14" s="228">
        <v>725215251.45266533</v>
      </c>
      <c r="D14" s="5">
        <v>0</v>
      </c>
      <c r="E14" s="5">
        <v>0</v>
      </c>
      <c r="F14" s="5"/>
      <c r="G14" s="5"/>
      <c r="H14" s="5"/>
      <c r="I14" s="5"/>
      <c r="J14" s="5"/>
      <c r="K14" s="5"/>
      <c r="L14" s="228">
        <v>-290542171.66702783</v>
      </c>
      <c r="M14" s="228">
        <f>SUM(C14:L14)</f>
        <v>434673079.7856375</v>
      </c>
    </row>
    <row r="15" spans="1:14" x14ac:dyDescent="0.3">
      <c r="A15" s="226">
        <f t="shared" si="0"/>
        <v>3</v>
      </c>
      <c r="B15" s="227" t="s">
        <v>166</v>
      </c>
      <c r="C15" s="6">
        <v>0</v>
      </c>
      <c r="D15" s="6">
        <v>0</v>
      </c>
      <c r="E15" s="6">
        <v>0</v>
      </c>
      <c r="F15" s="6"/>
      <c r="G15" s="6"/>
      <c r="H15" s="6"/>
      <c r="I15" s="6"/>
      <c r="J15" s="6"/>
      <c r="K15" s="6"/>
      <c r="L15" s="6"/>
      <c r="M15" s="6">
        <f>SUM(C15:L15)</f>
        <v>0</v>
      </c>
    </row>
    <row r="16" spans="1:14" x14ac:dyDescent="0.3">
      <c r="A16" s="226">
        <f t="shared" si="0"/>
        <v>4</v>
      </c>
      <c r="B16" s="227" t="s">
        <v>8</v>
      </c>
      <c r="C16" s="6">
        <v>20205262.979999997</v>
      </c>
      <c r="D16" s="6">
        <v>0</v>
      </c>
      <c r="E16" s="6">
        <v>0</v>
      </c>
      <c r="F16" s="6">
        <v>-6115339.9499999993</v>
      </c>
      <c r="G16" s="6"/>
      <c r="H16" s="6"/>
      <c r="I16" s="6"/>
      <c r="J16" s="6"/>
      <c r="K16" s="6"/>
      <c r="L16" s="6"/>
      <c r="M16" s="6">
        <f>SUM(C16:L16)</f>
        <v>14089923.029999997</v>
      </c>
    </row>
    <row r="17" spans="1:14" x14ac:dyDescent="0.3">
      <c r="A17" s="226">
        <f t="shared" si="0"/>
        <v>5</v>
      </c>
      <c r="B17" s="227" t="s">
        <v>9</v>
      </c>
      <c r="C17" s="229">
        <f>SUM(C14:C16)</f>
        <v>745420514.43266535</v>
      </c>
      <c r="D17" s="230">
        <f t="shared" ref="D17:M17" si="1">SUM(D14:D16)</f>
        <v>0</v>
      </c>
      <c r="E17" s="230">
        <f t="shared" si="1"/>
        <v>0</v>
      </c>
      <c r="F17" s="230">
        <f t="shared" si="1"/>
        <v>-6115339.9499999993</v>
      </c>
      <c r="G17" s="230">
        <f t="shared" si="1"/>
        <v>0</v>
      </c>
      <c r="H17" s="230">
        <f t="shared" si="1"/>
        <v>0</v>
      </c>
      <c r="I17" s="230">
        <f t="shared" si="1"/>
        <v>0</v>
      </c>
      <c r="J17" s="230">
        <f t="shared" si="1"/>
        <v>0</v>
      </c>
      <c r="K17" s="230">
        <f t="shared" si="1"/>
        <v>0</v>
      </c>
      <c r="L17" s="229">
        <f t="shared" si="1"/>
        <v>-290542171.66702783</v>
      </c>
      <c r="M17" s="229">
        <f t="shared" si="1"/>
        <v>448763002.81563747</v>
      </c>
    </row>
    <row r="18" spans="1:14" x14ac:dyDescent="0.3">
      <c r="A18" s="226">
        <f t="shared" si="0"/>
        <v>6</v>
      </c>
      <c r="B18" s="231"/>
    </row>
    <row r="19" spans="1:14" x14ac:dyDescent="0.3">
      <c r="A19" s="226">
        <f t="shared" si="0"/>
        <v>7</v>
      </c>
      <c r="B19" s="227" t="s">
        <v>10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x14ac:dyDescent="0.3">
      <c r="A20" s="226">
        <f t="shared" si="0"/>
        <v>8</v>
      </c>
      <c r="B20" s="23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4" x14ac:dyDescent="0.3">
      <c r="A21" s="226">
        <f t="shared" si="0"/>
        <v>9</v>
      </c>
      <c r="B21" s="227" t="s">
        <v>167</v>
      </c>
      <c r="C21" s="233">
        <v>277329850.73944092</v>
      </c>
      <c r="D21" s="6">
        <v>0</v>
      </c>
      <c r="E21" s="6">
        <v>0</v>
      </c>
      <c r="F21" s="6"/>
      <c r="G21" s="6"/>
      <c r="H21" s="6"/>
      <c r="I21" s="6"/>
      <c r="J21" s="6"/>
      <c r="K21" s="6"/>
      <c r="L21" s="233">
        <v>-277329850.73944199</v>
      </c>
      <c r="M21" s="6">
        <f>SUM(C21:L21)</f>
        <v>-1.0728836059570313E-6</v>
      </c>
    </row>
    <row r="22" spans="1:14" x14ac:dyDescent="0.3">
      <c r="A22" s="226">
        <f t="shared" si="0"/>
        <v>10</v>
      </c>
      <c r="B22" s="227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</row>
    <row r="23" spans="1:14" x14ac:dyDescent="0.3">
      <c r="A23" s="226">
        <f t="shared" si="0"/>
        <v>11</v>
      </c>
      <c r="B23" s="227" t="s">
        <v>168</v>
      </c>
      <c r="C23" s="235">
        <f>SUM(C21:C22)</f>
        <v>277329850.73944092</v>
      </c>
      <c r="D23" s="236">
        <f t="shared" ref="D23:M23" si="2">SUM(D21:D22)</f>
        <v>0</v>
      </c>
      <c r="E23" s="236">
        <f t="shared" si="2"/>
        <v>0</v>
      </c>
      <c r="F23" s="236">
        <f t="shared" si="2"/>
        <v>0</v>
      </c>
      <c r="G23" s="236">
        <f t="shared" si="2"/>
        <v>0</v>
      </c>
      <c r="H23" s="236">
        <f t="shared" si="2"/>
        <v>0</v>
      </c>
      <c r="I23" s="236">
        <f t="shared" si="2"/>
        <v>0</v>
      </c>
      <c r="J23" s="236">
        <f t="shared" si="2"/>
        <v>0</v>
      </c>
      <c r="K23" s="236">
        <f t="shared" si="2"/>
        <v>0</v>
      </c>
      <c r="L23" s="235">
        <f t="shared" si="2"/>
        <v>-277329850.73944199</v>
      </c>
      <c r="M23" s="236">
        <f t="shared" si="2"/>
        <v>-1.0728836059570313E-6</v>
      </c>
      <c r="N23" s="237"/>
    </row>
    <row r="24" spans="1:14" x14ac:dyDescent="0.3">
      <c r="A24" s="226">
        <f t="shared" si="0"/>
        <v>12</v>
      </c>
      <c r="B24" s="232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</row>
    <row r="25" spans="1:14" x14ac:dyDescent="0.3">
      <c r="A25" s="226">
        <f t="shared" si="0"/>
        <v>13</v>
      </c>
      <c r="B25" s="227" t="s">
        <v>16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4" x14ac:dyDescent="0.3">
      <c r="A26" s="226">
        <f t="shared" si="0"/>
        <v>14</v>
      </c>
      <c r="B26" s="22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4" x14ac:dyDescent="0.3">
      <c r="A27" s="226">
        <f t="shared" si="0"/>
        <v>15</v>
      </c>
      <c r="B27" s="238" t="s">
        <v>17</v>
      </c>
      <c r="C27" s="6">
        <v>6061388.8613986634</v>
      </c>
      <c r="D27" s="6">
        <v>0</v>
      </c>
      <c r="E27" s="6">
        <v>0</v>
      </c>
      <c r="F27" s="6"/>
      <c r="G27" s="6"/>
      <c r="H27" s="6"/>
      <c r="I27" s="6"/>
      <c r="J27" s="6"/>
      <c r="K27" s="6"/>
      <c r="L27" s="6"/>
      <c r="M27" s="6">
        <f t="shared" ref="M27:M40" si="3">SUM(C27:L27)</f>
        <v>6061388.8613986634</v>
      </c>
    </row>
    <row r="28" spans="1:14" x14ac:dyDescent="0.3">
      <c r="A28" s="226">
        <f t="shared" si="0"/>
        <v>16</v>
      </c>
      <c r="B28" s="227" t="s">
        <v>18</v>
      </c>
      <c r="C28" s="6">
        <v>2110.77</v>
      </c>
      <c r="D28" s="6">
        <v>0</v>
      </c>
      <c r="E28" s="6">
        <v>0</v>
      </c>
      <c r="F28" s="6"/>
      <c r="G28" s="6"/>
      <c r="H28" s="6"/>
      <c r="I28" s="6"/>
      <c r="J28" s="6"/>
      <c r="K28" s="6"/>
      <c r="L28" s="6"/>
      <c r="M28" s="6">
        <f t="shared" si="3"/>
        <v>2110.77</v>
      </c>
    </row>
    <row r="29" spans="1:14" x14ac:dyDescent="0.3">
      <c r="A29" s="226">
        <f t="shared" si="0"/>
        <v>17</v>
      </c>
      <c r="B29" s="227" t="s">
        <v>19</v>
      </c>
      <c r="C29" s="6">
        <v>60697625.368441522</v>
      </c>
      <c r="D29" s="6">
        <v>0</v>
      </c>
      <c r="E29" s="6">
        <v>0</v>
      </c>
      <c r="F29" s="6"/>
      <c r="G29" s="6"/>
      <c r="H29" s="6"/>
      <c r="I29" s="6"/>
      <c r="J29" s="6"/>
      <c r="K29" s="6"/>
      <c r="L29" s="6"/>
      <c r="M29" s="6">
        <f t="shared" si="3"/>
        <v>60697625.368441522</v>
      </c>
    </row>
    <row r="30" spans="1:14" x14ac:dyDescent="0.3">
      <c r="A30" s="226">
        <f t="shared" si="0"/>
        <v>18</v>
      </c>
      <c r="B30" s="227" t="s">
        <v>20</v>
      </c>
      <c r="C30" s="6">
        <v>29673461.250218544</v>
      </c>
      <c r="D30" s="6">
        <v>0</v>
      </c>
      <c r="E30" s="6">
        <v>0</v>
      </c>
      <c r="F30" s="6">
        <v>-31335.001903799995</v>
      </c>
      <c r="G30" s="6"/>
      <c r="H30" s="6"/>
      <c r="I30" s="6"/>
      <c r="J30" s="6"/>
      <c r="K30" s="6"/>
      <c r="L30" s="235">
        <f>L17*L59</f>
        <v>-1488738.0876218507</v>
      </c>
      <c r="M30" s="233">
        <f t="shared" si="3"/>
        <v>28153388.160692897</v>
      </c>
    </row>
    <row r="31" spans="1:14" x14ac:dyDescent="0.3">
      <c r="A31" s="226">
        <f t="shared" si="0"/>
        <v>19</v>
      </c>
      <c r="B31" s="227" t="s">
        <v>21</v>
      </c>
      <c r="C31" s="6">
        <v>1763236.0746447137</v>
      </c>
      <c r="D31" s="6">
        <v>0</v>
      </c>
      <c r="E31" s="6">
        <v>0</v>
      </c>
      <c r="F31" s="6"/>
      <c r="G31" s="6"/>
      <c r="H31" s="6"/>
      <c r="I31" s="6"/>
      <c r="J31" s="6"/>
      <c r="K31" s="6"/>
      <c r="L31" s="236"/>
      <c r="M31" s="6">
        <f t="shared" si="3"/>
        <v>1763236.0746447137</v>
      </c>
    </row>
    <row r="32" spans="1:14" x14ac:dyDescent="0.3">
      <c r="A32" s="226">
        <f t="shared" si="0"/>
        <v>20</v>
      </c>
      <c r="B32" s="227" t="s">
        <v>22</v>
      </c>
      <c r="C32" s="6">
        <v>0</v>
      </c>
      <c r="D32" s="6">
        <v>0</v>
      </c>
      <c r="E32" s="6">
        <v>0</v>
      </c>
      <c r="F32" s="6"/>
      <c r="G32" s="6"/>
      <c r="H32" s="6"/>
      <c r="I32" s="6"/>
      <c r="J32" s="6"/>
      <c r="K32" s="6"/>
      <c r="L32" s="236"/>
      <c r="M32" s="6">
        <f t="shared" si="3"/>
        <v>0</v>
      </c>
    </row>
    <row r="33" spans="1:14" x14ac:dyDescent="0.3">
      <c r="A33" s="226">
        <f t="shared" si="0"/>
        <v>21</v>
      </c>
      <c r="B33" s="227" t="s">
        <v>23</v>
      </c>
      <c r="C33" s="6">
        <v>59703283.750136778</v>
      </c>
      <c r="D33" s="6">
        <v>0</v>
      </c>
      <c r="E33" s="6">
        <v>0</v>
      </c>
      <c r="F33" s="6">
        <v>-12230.679899999999</v>
      </c>
      <c r="G33" s="6"/>
      <c r="H33" s="6"/>
      <c r="I33" s="6"/>
      <c r="J33" s="6"/>
      <c r="K33" s="6"/>
      <c r="L33" s="235">
        <f>L17*L60</f>
        <v>-581084.34333405562</v>
      </c>
      <c r="M33" s="233">
        <f t="shared" si="3"/>
        <v>59109968.726902723</v>
      </c>
    </row>
    <row r="34" spans="1:14" x14ac:dyDescent="0.3">
      <c r="A34" s="226">
        <f t="shared" si="0"/>
        <v>22</v>
      </c>
      <c r="B34" s="227" t="s">
        <v>24</v>
      </c>
      <c r="C34" s="6">
        <v>121094686.13197264</v>
      </c>
      <c r="D34" s="6">
        <v>0</v>
      </c>
      <c r="E34" s="6">
        <v>-4136955.6219727392</v>
      </c>
      <c r="F34" s="6"/>
      <c r="G34" s="6"/>
      <c r="H34" s="6"/>
      <c r="I34" s="6"/>
      <c r="J34" s="6"/>
      <c r="K34" s="6"/>
      <c r="L34" s="236"/>
      <c r="M34" s="6">
        <f t="shared" si="3"/>
        <v>116957730.5099999</v>
      </c>
    </row>
    <row r="35" spans="1:14" x14ac:dyDescent="0.3">
      <c r="A35" s="226">
        <f t="shared" si="0"/>
        <v>23</v>
      </c>
      <c r="B35" s="227" t="s">
        <v>25</v>
      </c>
      <c r="C35" s="6">
        <v>34307585.992161989</v>
      </c>
      <c r="D35" s="6">
        <v>0</v>
      </c>
      <c r="E35" s="6">
        <v>-8190016.0321619846</v>
      </c>
      <c r="F35" s="6"/>
      <c r="G35" s="6"/>
      <c r="H35" s="6"/>
      <c r="I35" s="6"/>
      <c r="J35" s="6"/>
      <c r="K35" s="6"/>
      <c r="L35" s="236"/>
      <c r="M35" s="6">
        <f t="shared" si="3"/>
        <v>26117569.960000005</v>
      </c>
    </row>
    <row r="36" spans="1:14" x14ac:dyDescent="0.3">
      <c r="A36" s="226">
        <f t="shared" si="0"/>
        <v>24</v>
      </c>
      <c r="B36" s="238" t="s">
        <v>26</v>
      </c>
      <c r="C36" s="6">
        <v>0</v>
      </c>
      <c r="D36" s="6">
        <v>0</v>
      </c>
      <c r="E36" s="6">
        <v>0</v>
      </c>
      <c r="F36" s="6"/>
      <c r="G36" s="6"/>
      <c r="H36" s="6"/>
      <c r="I36" s="6"/>
      <c r="J36" s="6"/>
      <c r="K36" s="6"/>
      <c r="L36" s="236"/>
      <c r="M36" s="6">
        <f t="shared" si="3"/>
        <v>0</v>
      </c>
    </row>
    <row r="37" spans="1:14" x14ac:dyDescent="0.3">
      <c r="A37" s="226">
        <f t="shared" si="0"/>
        <v>25</v>
      </c>
      <c r="B37" s="227" t="s">
        <v>27</v>
      </c>
      <c r="C37" s="6">
        <v>8769360.9199999981</v>
      </c>
      <c r="D37" s="6">
        <v>0</v>
      </c>
      <c r="E37" s="6">
        <v>0</v>
      </c>
      <c r="F37" s="6"/>
      <c r="G37" s="233">
        <v>-91958.276666666628</v>
      </c>
      <c r="H37" s="233">
        <v>856890.67156689428</v>
      </c>
      <c r="I37" s="233">
        <v>2298433.4531654669</v>
      </c>
      <c r="J37" s="233">
        <v>4046416.6090600006</v>
      </c>
      <c r="K37" s="233"/>
      <c r="L37" s="236"/>
      <c r="M37" s="233">
        <f t="shared" si="3"/>
        <v>15879143.377125692</v>
      </c>
    </row>
    <row r="38" spans="1:14" x14ac:dyDescent="0.3">
      <c r="A38" s="226">
        <f t="shared" si="0"/>
        <v>26</v>
      </c>
      <c r="B38" s="227" t="s">
        <v>29</v>
      </c>
      <c r="C38" s="6">
        <v>35495333.331284694</v>
      </c>
      <c r="D38" s="6">
        <v>0</v>
      </c>
      <c r="E38" s="6">
        <v>0</v>
      </c>
      <c r="F38" s="6">
        <v>-234358.17290384998</v>
      </c>
      <c r="G38" s="233"/>
      <c r="H38" s="233"/>
      <c r="I38" s="233"/>
      <c r="J38" s="233"/>
      <c r="K38" s="233"/>
      <c r="L38" s="235">
        <f>L17*L61</f>
        <v>-11134447.644795509</v>
      </c>
      <c r="M38" s="233">
        <f t="shared" si="3"/>
        <v>24126527.513585337</v>
      </c>
    </row>
    <row r="39" spans="1:14" x14ac:dyDescent="0.3">
      <c r="A39" s="226">
        <f t="shared" si="0"/>
        <v>27</v>
      </c>
      <c r="B39" s="227" t="s">
        <v>30</v>
      </c>
      <c r="C39" s="233">
        <v>4469944.6340043694</v>
      </c>
      <c r="D39" s="6">
        <v>0</v>
      </c>
      <c r="E39" s="6">
        <v>2588664.0473682922</v>
      </c>
      <c r="F39" s="236">
        <f>SUM(F17,-SUM(F23:F38))*0.21</f>
        <v>-1225857.3800113932</v>
      </c>
      <c r="G39" s="235">
        <v>19311.238099999991</v>
      </c>
      <c r="H39" s="235">
        <v>-179947.0410290478</v>
      </c>
      <c r="I39" s="233">
        <f>-I37*0.21</f>
        <v>-482671.02516474802</v>
      </c>
      <c r="J39" s="233">
        <f>-J37*0.21</f>
        <v>-849747.48790260009</v>
      </c>
      <c r="K39" s="233" t="s">
        <v>257</v>
      </c>
      <c r="L39" s="236">
        <f>SUM(L17,-SUM(L23:L38))*0.21</f>
        <v>-1690.6788852149248</v>
      </c>
      <c r="M39" s="233">
        <f t="shared" si="3"/>
        <v>4338006.3064796571</v>
      </c>
    </row>
    <row r="40" spans="1:14" x14ac:dyDescent="0.3">
      <c r="A40" s="226">
        <f t="shared" si="0"/>
        <v>28</v>
      </c>
      <c r="B40" s="232" t="s">
        <v>31</v>
      </c>
      <c r="C40" s="6">
        <v>523319.51868812554</v>
      </c>
      <c r="D40" s="6">
        <v>0</v>
      </c>
      <c r="E40" s="6">
        <v>0</v>
      </c>
      <c r="F40" s="6"/>
      <c r="G40" s="233"/>
      <c r="H40" s="233"/>
      <c r="I40" s="233"/>
      <c r="J40" s="233"/>
      <c r="K40" s="233" t="s">
        <v>257</v>
      </c>
      <c r="L40" s="236"/>
      <c r="M40" s="6">
        <f t="shared" si="3"/>
        <v>523319.51868812554</v>
      </c>
    </row>
    <row r="41" spans="1:14" x14ac:dyDescent="0.3">
      <c r="A41" s="226">
        <f t="shared" si="0"/>
        <v>29</v>
      </c>
      <c r="B41" s="227" t="s">
        <v>32</v>
      </c>
      <c r="C41" s="239">
        <f t="shared" ref="C41:M41" si="4">SUM(C23:C40)</f>
        <v>639891187.3423928</v>
      </c>
      <c r="D41" s="234">
        <f t="shared" si="4"/>
        <v>0</v>
      </c>
      <c r="E41" s="234">
        <f t="shared" si="4"/>
        <v>-9738307.6067664325</v>
      </c>
      <c r="F41" s="234">
        <f t="shared" si="4"/>
        <v>-1503781.2347190431</v>
      </c>
      <c r="G41" s="239">
        <f t="shared" ref="G41:K41" si="5">SUM(G23:G40)</f>
        <v>-72647.038566666641</v>
      </c>
      <c r="H41" s="239">
        <f t="shared" si="5"/>
        <v>676943.63053784647</v>
      </c>
      <c r="I41" s="239">
        <f t="shared" ref="I41:J41" si="6">SUM(I23:I40)</f>
        <v>1815762.4280007188</v>
      </c>
      <c r="J41" s="239">
        <f t="shared" si="6"/>
        <v>3196669.1211574003</v>
      </c>
      <c r="K41" s="239">
        <f t="shared" si="5"/>
        <v>0</v>
      </c>
      <c r="L41" s="239">
        <f t="shared" si="4"/>
        <v>-290535811.4940787</v>
      </c>
      <c r="M41" s="239">
        <f t="shared" si="4"/>
        <v>343730015.14795816</v>
      </c>
    </row>
    <row r="42" spans="1:14" x14ac:dyDescent="0.3">
      <c r="A42" s="226">
        <f t="shared" si="0"/>
        <v>30</v>
      </c>
      <c r="B42" s="232"/>
      <c r="C42" s="234"/>
      <c r="D42" s="234"/>
      <c r="E42" s="234"/>
      <c r="F42" s="234"/>
      <c r="G42" s="239"/>
      <c r="H42" s="239"/>
      <c r="I42" s="239"/>
      <c r="J42" s="239"/>
      <c r="K42" s="239"/>
      <c r="L42" s="234"/>
      <c r="M42" s="234"/>
    </row>
    <row r="43" spans="1:14" ht="15" thickBot="1" x14ac:dyDescent="0.35">
      <c r="A43" s="226">
        <f t="shared" si="0"/>
        <v>31</v>
      </c>
      <c r="B43" s="232" t="s">
        <v>33</v>
      </c>
      <c r="C43" s="240">
        <f t="shared" ref="C43:M43" si="7">C17-C41</f>
        <v>105529327.09027255</v>
      </c>
      <c r="D43" s="241">
        <f t="shared" si="7"/>
        <v>0</v>
      </c>
      <c r="E43" s="241">
        <f t="shared" si="7"/>
        <v>9738307.6067664325</v>
      </c>
      <c r="F43" s="241">
        <f t="shared" si="7"/>
        <v>-4611558.7152809557</v>
      </c>
      <c r="G43" s="240">
        <f t="shared" ref="G43:K43" si="8">G17-G41</f>
        <v>72647.038566666641</v>
      </c>
      <c r="H43" s="240">
        <f t="shared" si="8"/>
        <v>-676943.63053784647</v>
      </c>
      <c r="I43" s="240">
        <f t="shared" ref="I43:J43" si="9">I17-I41</f>
        <v>-1815762.4280007188</v>
      </c>
      <c r="J43" s="240">
        <f t="shared" si="9"/>
        <v>-3196669.1211574003</v>
      </c>
      <c r="K43" s="240">
        <f t="shared" si="8"/>
        <v>0</v>
      </c>
      <c r="L43" s="241">
        <f t="shared" si="7"/>
        <v>-6360.1729491353035</v>
      </c>
      <c r="M43" s="240">
        <f t="shared" si="7"/>
        <v>105032987.66767931</v>
      </c>
      <c r="N43" s="242"/>
    </row>
    <row r="44" spans="1:14" ht="15" thickTop="1" x14ac:dyDescent="0.3">
      <c r="A44" s="226">
        <f t="shared" si="0"/>
        <v>32</v>
      </c>
      <c r="B44" s="16"/>
      <c r="C44" s="236"/>
      <c r="D44" s="236"/>
      <c r="E44" s="236"/>
      <c r="F44" s="236"/>
      <c r="G44" s="235"/>
      <c r="H44" s="235"/>
      <c r="I44" s="235"/>
      <c r="J44" s="235"/>
      <c r="K44" s="235"/>
      <c r="L44" s="236"/>
      <c r="M44" s="236"/>
    </row>
    <row r="45" spans="1:14" x14ac:dyDescent="0.3">
      <c r="A45" s="226">
        <f t="shared" si="0"/>
        <v>33</v>
      </c>
      <c r="B45" s="227" t="s">
        <v>34</v>
      </c>
      <c r="C45" s="243">
        <f>C56</f>
        <v>2092074132.4581106</v>
      </c>
      <c r="D45" s="243">
        <f t="shared" ref="D45:M45" si="10">D56</f>
        <v>-150665688.3308869</v>
      </c>
      <c r="E45" s="243">
        <f t="shared" si="10"/>
        <v>9738307.6067664325</v>
      </c>
      <c r="F45" s="243">
        <f t="shared" si="10"/>
        <v>0</v>
      </c>
      <c r="G45" s="244">
        <f t="shared" si="10"/>
        <v>0</v>
      </c>
      <c r="H45" s="244">
        <f t="shared" si="10"/>
        <v>0</v>
      </c>
      <c r="I45" s="244">
        <f t="shared" ref="I45:J45" si="11">I56</f>
        <v>3768092.5655758721</v>
      </c>
      <c r="J45" s="244">
        <f t="shared" si="11"/>
        <v>7674339.7749153972</v>
      </c>
      <c r="K45" s="244">
        <f t="shared" si="10"/>
        <v>0</v>
      </c>
      <c r="L45" s="243">
        <f t="shared" si="10"/>
        <v>0</v>
      </c>
      <c r="M45" s="244">
        <f t="shared" si="10"/>
        <v>1962589184.0744817</v>
      </c>
    </row>
    <row r="46" spans="1:14" x14ac:dyDescent="0.3">
      <c r="A46" s="226">
        <f t="shared" si="0"/>
        <v>34</v>
      </c>
      <c r="B46" s="232"/>
      <c r="C46" s="6"/>
      <c r="D46" s="6"/>
      <c r="E46" s="6"/>
      <c r="F46" s="6"/>
      <c r="G46" s="233"/>
      <c r="H46" s="233"/>
      <c r="I46" s="233"/>
      <c r="J46" s="233"/>
      <c r="K46" s="233"/>
      <c r="L46" s="6"/>
      <c r="M46" s="6"/>
    </row>
    <row r="47" spans="1:14" x14ac:dyDescent="0.3">
      <c r="A47" s="226">
        <f t="shared" si="0"/>
        <v>35</v>
      </c>
      <c r="B47" s="227" t="s">
        <v>35</v>
      </c>
      <c r="C47" s="245">
        <f>C43/C45</f>
        <v>5.0442441523943247E-2</v>
      </c>
      <c r="D47" s="245">
        <f>SUM($C43:D43)/SUM($C56:D56)-SUM($C47:C47)</f>
        <v>3.9146554638130465E-3</v>
      </c>
      <c r="E47" s="245">
        <f>SUM($C43:E43)/SUM($C56:E56)-SUM($C47:D47)</f>
        <v>4.7197687552229459E-3</v>
      </c>
      <c r="F47" s="245">
        <f>SUM($C43:F43)/SUM($C56:F56)-SUM($C47:E47)</f>
        <v>-2.3635119763198986E-3</v>
      </c>
      <c r="G47" s="246">
        <f>SUM($C43:G43)/SUM($C56:G56)-SUM($C47:F47)</f>
        <v>3.7232995674006675E-5</v>
      </c>
      <c r="H47" s="246">
        <f>SUM($C43:H43)/SUM($C56:H56)-SUM($C47:G47)</f>
        <v>-3.4694654819595466E-4</v>
      </c>
      <c r="I47" s="246">
        <f>SUM($C43:I43)/SUM($C56:I56)-SUM($C47:H47)</f>
        <v>-1.0375370422284272E-3</v>
      </c>
      <c r="J47" s="246">
        <f>SUM($C43:J43)/SUM($C56:J56)-SUM($C47:I47)</f>
        <v>-1.8453008089003228E-3</v>
      </c>
      <c r="K47" s="246">
        <f>SUM($C43:K43)/SUM($C56:K56)-SUM($C47:H47)</f>
        <v>-2.88283785112875E-3</v>
      </c>
      <c r="L47" s="245">
        <f>SUM($C43:L43)/SUM($C56:L56)-SUM($C47:K47)</f>
        <v>2.879597145941569E-3</v>
      </c>
      <c r="M47" s="245">
        <f>M43/M45</f>
        <v>5.3517561657821316E-2</v>
      </c>
    </row>
    <row r="48" spans="1:14" x14ac:dyDescent="0.3">
      <c r="A48" s="226">
        <f t="shared" si="0"/>
        <v>36</v>
      </c>
      <c r="B48" s="232"/>
      <c r="C48" s="6"/>
      <c r="D48" s="6"/>
      <c r="E48" s="6"/>
      <c r="F48" s="6"/>
      <c r="G48" s="233"/>
      <c r="H48" s="233"/>
      <c r="I48" s="233"/>
      <c r="J48" s="233"/>
      <c r="K48" s="233"/>
      <c r="L48" s="6"/>
      <c r="M48" s="6"/>
    </row>
    <row r="49" spans="1:13" x14ac:dyDescent="0.3">
      <c r="A49" s="226">
        <f t="shared" si="0"/>
        <v>37</v>
      </c>
      <c r="B49" s="232" t="s">
        <v>36</v>
      </c>
      <c r="C49" s="245"/>
      <c r="D49" s="245"/>
      <c r="E49" s="245"/>
      <c r="F49" s="245"/>
      <c r="G49" s="246"/>
      <c r="H49" s="246"/>
      <c r="I49" s="246"/>
      <c r="J49" s="246"/>
      <c r="K49" s="246"/>
      <c r="L49" s="245"/>
      <c r="M49" s="245"/>
    </row>
    <row r="50" spans="1:13" x14ac:dyDescent="0.3">
      <c r="A50" s="226">
        <f t="shared" si="0"/>
        <v>38</v>
      </c>
      <c r="B50" s="247" t="s">
        <v>37</v>
      </c>
      <c r="C50" s="228">
        <v>4300827048.9427185</v>
      </c>
      <c r="D50" s="5">
        <v>-200340092.80947351</v>
      </c>
      <c r="E50" s="5">
        <v>0</v>
      </c>
      <c r="F50" s="5">
        <v>0</v>
      </c>
      <c r="G50" s="228"/>
      <c r="H50" s="228"/>
      <c r="I50" s="228"/>
      <c r="J50" s="228"/>
      <c r="K50" s="228"/>
      <c r="L50" s="5">
        <v>0</v>
      </c>
      <c r="M50" s="228">
        <f t="shared" ref="M50:M55" si="12">SUM(C50:L50)</f>
        <v>4100486956.133245</v>
      </c>
    </row>
    <row r="51" spans="1:13" x14ac:dyDescent="0.3">
      <c r="A51" s="226">
        <f t="shared" si="0"/>
        <v>39</v>
      </c>
      <c r="B51" s="247" t="s">
        <v>169</v>
      </c>
      <c r="C51" s="6">
        <v>-1637637926.6516845</v>
      </c>
      <c r="D51" s="6">
        <v>55515781.67730689</v>
      </c>
      <c r="E51" s="6">
        <v>12326971.654134724</v>
      </c>
      <c r="F51" s="6">
        <v>0</v>
      </c>
      <c r="G51" s="233"/>
      <c r="H51" s="233"/>
      <c r="I51" s="233"/>
      <c r="J51" s="233"/>
      <c r="K51" s="233"/>
      <c r="L51" s="6">
        <v>0</v>
      </c>
      <c r="M51" s="6">
        <f t="shared" si="12"/>
        <v>-1569795173.3202429</v>
      </c>
    </row>
    <row r="52" spans="1:13" x14ac:dyDescent="0.3">
      <c r="A52" s="226">
        <f t="shared" si="0"/>
        <v>40</v>
      </c>
      <c r="B52" s="232" t="s">
        <v>170</v>
      </c>
      <c r="C52" s="233">
        <v>-597677158.88667977</v>
      </c>
      <c r="D52" s="6">
        <v>-3758546.0358800888</v>
      </c>
      <c r="E52" s="6">
        <v>-2588664.0473682922</v>
      </c>
      <c r="F52" s="6">
        <v>0</v>
      </c>
      <c r="G52" s="233"/>
      <c r="H52" s="233"/>
      <c r="I52" s="233">
        <v>-1001644.8592037127</v>
      </c>
      <c r="J52" s="233">
        <v>-2040014.3705471321</v>
      </c>
      <c r="K52" s="233"/>
      <c r="L52" s="6">
        <v>0</v>
      </c>
      <c r="M52" s="233">
        <f t="shared" si="12"/>
        <v>-607066028.19967902</v>
      </c>
    </row>
    <row r="53" spans="1:13" x14ac:dyDescent="0.3">
      <c r="A53" s="226">
        <f t="shared" si="0"/>
        <v>41</v>
      </c>
      <c r="B53" s="232" t="s">
        <v>171</v>
      </c>
      <c r="C53" s="6">
        <v>-26993656.705525</v>
      </c>
      <c r="D53" s="6">
        <v>-2958805.4567250796</v>
      </c>
      <c r="E53" s="6">
        <v>0</v>
      </c>
      <c r="F53" s="6">
        <v>0</v>
      </c>
      <c r="G53" s="233"/>
      <c r="H53" s="233"/>
      <c r="I53" s="233"/>
      <c r="J53" s="233"/>
      <c r="K53" s="233"/>
      <c r="L53" s="6">
        <v>0</v>
      </c>
      <c r="M53" s="6">
        <f t="shared" si="12"/>
        <v>-29952462.162250079</v>
      </c>
    </row>
    <row r="54" spans="1:13" x14ac:dyDescent="0.3">
      <c r="A54" s="226">
        <f t="shared" si="0"/>
        <v>42</v>
      </c>
      <c r="B54" s="232" t="s">
        <v>41</v>
      </c>
      <c r="C54" s="233">
        <v>53555825.759281471</v>
      </c>
      <c r="D54" s="6">
        <v>875974.29388491809</v>
      </c>
      <c r="E54" s="6">
        <v>0</v>
      </c>
      <c r="F54" s="6">
        <v>0</v>
      </c>
      <c r="G54" s="233"/>
      <c r="H54" s="233"/>
      <c r="I54" s="233"/>
      <c r="J54" s="233"/>
      <c r="K54" s="233"/>
      <c r="L54" s="6">
        <v>0</v>
      </c>
      <c r="M54" s="6">
        <f t="shared" si="12"/>
        <v>54431800.053166389</v>
      </c>
    </row>
    <row r="55" spans="1:13" x14ac:dyDescent="0.3">
      <c r="A55" s="226">
        <f t="shared" si="0"/>
        <v>43</v>
      </c>
      <c r="B55" s="232" t="s">
        <v>42</v>
      </c>
      <c r="C55" s="6">
        <v>0</v>
      </c>
      <c r="D55" s="6">
        <v>0</v>
      </c>
      <c r="E55" s="6">
        <v>0</v>
      </c>
      <c r="F55" s="6">
        <v>0</v>
      </c>
      <c r="G55" s="233"/>
      <c r="H55" s="233"/>
      <c r="I55" s="233">
        <v>4769737.4247795846</v>
      </c>
      <c r="J55" s="233">
        <v>9714354.1454625297</v>
      </c>
      <c r="K55" s="233"/>
      <c r="L55" s="6">
        <v>0</v>
      </c>
      <c r="M55" s="233">
        <f t="shared" si="12"/>
        <v>14484091.570242114</v>
      </c>
    </row>
    <row r="56" spans="1:13" ht="15" thickBot="1" x14ac:dyDescent="0.35">
      <c r="A56" s="226">
        <f t="shared" si="0"/>
        <v>44</v>
      </c>
      <c r="B56" s="232" t="s">
        <v>43</v>
      </c>
      <c r="C56" s="248">
        <f>SUM(C50:C55)</f>
        <v>2092074132.4581106</v>
      </c>
      <c r="D56" s="248">
        <f>SUM(D50:D55)</f>
        <v>-150665688.3308869</v>
      </c>
      <c r="E56" s="7">
        <f>SUM(E50:E55)</f>
        <v>9738307.6067664325</v>
      </c>
      <c r="F56" s="7">
        <f t="shared" ref="F56:L56" si="13">SUM(F50:F55)</f>
        <v>0</v>
      </c>
      <c r="G56" s="248">
        <f t="shared" si="13"/>
        <v>0</v>
      </c>
      <c r="H56" s="248">
        <f t="shared" si="13"/>
        <v>0</v>
      </c>
      <c r="I56" s="248">
        <f t="shared" ref="I56:J56" si="14">SUM(I50:I55)</f>
        <v>3768092.5655758721</v>
      </c>
      <c r="J56" s="248">
        <f t="shared" si="14"/>
        <v>7674339.7749153972</v>
      </c>
      <c r="K56" s="248">
        <f t="shared" si="13"/>
        <v>0</v>
      </c>
      <c r="L56" s="7">
        <f t="shared" si="13"/>
        <v>0</v>
      </c>
      <c r="M56" s="248">
        <f>SUM(M50:M55)</f>
        <v>1962589184.0744817</v>
      </c>
    </row>
    <row r="57" spans="1:13" ht="15" thickTop="1" x14ac:dyDescent="0.3">
      <c r="C57" s="6"/>
      <c r="D57" s="6"/>
      <c r="E57" s="6"/>
      <c r="F57" s="6"/>
      <c r="G57" s="6"/>
      <c r="H57" s="6"/>
      <c r="I57" s="6"/>
      <c r="J57" s="6"/>
      <c r="K57" s="6"/>
      <c r="L57" s="249" t="s">
        <v>256</v>
      </c>
      <c r="M57" s="6">
        <v>1962589183.1507938</v>
      </c>
    </row>
    <row r="58" spans="1:13" x14ac:dyDescent="0.3">
      <c r="F58" s="250"/>
      <c r="G58" s="250"/>
      <c r="H58" s="250"/>
      <c r="I58" s="250"/>
      <c r="J58" s="250"/>
      <c r="K58" s="250"/>
      <c r="L58" s="249" t="s">
        <v>256</v>
      </c>
      <c r="M58" s="23">
        <f>+M57-M56</f>
        <v>-0.92368793487548828</v>
      </c>
    </row>
    <row r="59" spans="1:13" x14ac:dyDescent="0.3">
      <c r="F59" s="250"/>
      <c r="G59" s="250"/>
      <c r="H59" s="250"/>
      <c r="I59" s="250"/>
      <c r="J59" s="250"/>
      <c r="K59" s="250"/>
      <c r="L59" s="251">
        <v>5.1240000000000001E-3</v>
      </c>
    </row>
    <row r="60" spans="1:13" x14ac:dyDescent="0.3">
      <c r="F60" s="250"/>
      <c r="G60" s="250"/>
      <c r="H60" s="250"/>
      <c r="I60" s="250"/>
      <c r="J60" s="250"/>
      <c r="K60" s="250"/>
      <c r="L60" s="251">
        <v>2E-3</v>
      </c>
    </row>
    <row r="61" spans="1:13" x14ac:dyDescent="0.3">
      <c r="F61" s="250"/>
      <c r="G61" s="250"/>
      <c r="H61" s="250"/>
      <c r="I61" s="250"/>
      <c r="J61" s="250"/>
      <c r="K61" s="250"/>
      <c r="L61" s="251">
        <v>3.8323000000000003E-2</v>
      </c>
    </row>
    <row r="62" spans="1:13" x14ac:dyDescent="0.3">
      <c r="F62" s="250"/>
      <c r="G62" s="250"/>
      <c r="H62" s="250"/>
      <c r="I62" s="250"/>
      <c r="J62" s="250"/>
      <c r="K62" s="250"/>
      <c r="L62" s="252">
        <v>0.21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09375" defaultRowHeight="14.4" x14ac:dyDescent="0.3"/>
  <cols>
    <col min="1" max="16384" width="9.109375" style="22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85" zoomScaleNormal="85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33203125" defaultRowHeight="12.6" x14ac:dyDescent="0.25"/>
  <cols>
    <col min="1" max="1" width="20.5546875" style="180" bestFit="1" customWidth="1"/>
    <col min="2" max="3" width="20.5546875" style="180" customWidth="1"/>
    <col min="4" max="4" width="19.5546875" style="180" bestFit="1" customWidth="1"/>
    <col min="5" max="5" width="20.109375" style="180" bestFit="1" customWidth="1"/>
    <col min="6" max="6" width="24.109375" style="180" bestFit="1" customWidth="1"/>
    <col min="7" max="7" width="16.6640625" style="180" customWidth="1"/>
    <col min="8" max="8" width="19.44140625" style="180" customWidth="1"/>
    <col min="9" max="9" width="15.109375" style="180" customWidth="1"/>
    <col min="10" max="10" width="10.5546875" style="180" bestFit="1" customWidth="1"/>
    <col min="11" max="11" width="41.33203125" style="180" bestFit="1" customWidth="1"/>
    <col min="12" max="14" width="10.5546875" style="180" bestFit="1" customWidth="1"/>
    <col min="15" max="15" width="11.109375" style="180" customWidth="1"/>
    <col min="16" max="16384" width="9.33203125" style="180"/>
  </cols>
  <sheetData>
    <row r="1" spans="1:10" ht="20.100000000000001" customHeight="1" x14ac:dyDescent="0.25">
      <c r="A1" s="179" t="s">
        <v>54</v>
      </c>
      <c r="B1" s="179"/>
      <c r="C1" s="179"/>
    </row>
    <row r="2" spans="1:10" ht="20.100000000000001" customHeight="1" x14ac:dyDescent="0.25">
      <c r="A2" s="179" t="s">
        <v>55</v>
      </c>
      <c r="B2" s="179"/>
      <c r="C2" s="179"/>
      <c r="D2" s="179"/>
    </row>
    <row r="3" spans="1:10" s="181" customFormat="1" ht="13.2" x14ac:dyDescent="0.25">
      <c r="D3" s="179"/>
    </row>
    <row r="4" spans="1:10" ht="13.2" x14ac:dyDescent="0.25">
      <c r="A4" s="182"/>
      <c r="B4" s="182"/>
      <c r="C4" s="182"/>
      <c r="D4" s="182"/>
      <c r="E4" s="182"/>
      <c r="F4" s="182"/>
    </row>
    <row r="5" spans="1:10" ht="39.9" customHeight="1" x14ac:dyDescent="0.25">
      <c r="A5" s="183" t="s">
        <v>56</v>
      </c>
      <c r="B5" s="184" t="s">
        <v>57</v>
      </c>
      <c r="C5" s="184" t="s">
        <v>161</v>
      </c>
      <c r="D5" s="184" t="s">
        <v>162</v>
      </c>
      <c r="E5" s="184" t="s">
        <v>283</v>
      </c>
      <c r="F5" s="184" t="s">
        <v>58</v>
      </c>
      <c r="G5" s="179"/>
      <c r="H5" s="179"/>
      <c r="J5" s="185"/>
    </row>
    <row r="6" spans="1:10" ht="20.100000000000001" customHeight="1" x14ac:dyDescent="0.25">
      <c r="A6" s="184" t="s">
        <v>59</v>
      </c>
      <c r="B6" s="184" t="s">
        <v>60</v>
      </c>
      <c r="C6" s="184" t="s">
        <v>61</v>
      </c>
      <c r="D6" s="184" t="s">
        <v>159</v>
      </c>
      <c r="E6" s="184" t="s">
        <v>74</v>
      </c>
      <c r="F6" s="184" t="s">
        <v>160</v>
      </c>
      <c r="G6" s="179"/>
      <c r="H6" s="179"/>
      <c r="J6" s="185"/>
    </row>
    <row r="7" spans="1:10" ht="20.100000000000001" customHeight="1" x14ac:dyDescent="0.25">
      <c r="A7" s="186">
        <v>43101</v>
      </c>
      <c r="B7" s="187">
        <v>2043401774</v>
      </c>
      <c r="C7" s="187">
        <f>'3.01E Lead Sheet '!F12</f>
        <v>83905327.63374868</v>
      </c>
      <c r="D7" s="187">
        <f>SUM(B7:C7)</f>
        <v>2127307101.6337488</v>
      </c>
      <c r="E7" s="188">
        <f>'Exh.A-1'!G43</f>
        <v>34.539813001177272</v>
      </c>
      <c r="F7" s="189">
        <f t="shared" ref="F7:F18" si="0">+D7*E7/1000</f>
        <v>73476789.486506104</v>
      </c>
      <c r="G7" s="179"/>
      <c r="H7" s="179"/>
      <c r="I7" s="190"/>
    </row>
    <row r="8" spans="1:10" ht="20.100000000000001" customHeight="1" x14ac:dyDescent="0.25">
      <c r="A8" s="186">
        <v>43132</v>
      </c>
      <c r="B8" s="187">
        <v>1989158579</v>
      </c>
      <c r="C8" s="187">
        <f>'3.01E Lead Sheet '!F13</f>
        <v>-52866388.744541407</v>
      </c>
      <c r="D8" s="187">
        <f t="shared" ref="D8:D18" si="1">SUM(B8:C8)</f>
        <v>1936292190.2554586</v>
      </c>
      <c r="E8" s="188">
        <f>E7</f>
        <v>34.539813001177272</v>
      </c>
      <c r="F8" s="189">
        <f t="shared" si="0"/>
        <v>66879170.167063504</v>
      </c>
      <c r="G8" s="179"/>
      <c r="H8" s="179"/>
      <c r="I8" s="190"/>
    </row>
    <row r="9" spans="1:10" ht="20.100000000000001" customHeight="1" x14ac:dyDescent="0.25">
      <c r="A9" s="186">
        <v>43160</v>
      </c>
      <c r="B9" s="187">
        <v>1870558174</v>
      </c>
      <c r="C9" s="187">
        <f>'3.01E Lead Sheet '!F14</f>
        <v>5684788.8911022069</v>
      </c>
      <c r="D9" s="187">
        <f t="shared" si="1"/>
        <v>1876242962.8911023</v>
      </c>
      <c r="E9" s="188">
        <f t="shared" ref="E9:E18" si="2">E8</f>
        <v>34.539813001177272</v>
      </c>
      <c r="F9" s="189">
        <f t="shared" si="0"/>
        <v>64805081.083033465</v>
      </c>
      <c r="G9" s="179"/>
      <c r="H9" s="179"/>
    </row>
    <row r="10" spans="1:10" ht="20.100000000000001" customHeight="1" x14ac:dyDescent="0.25">
      <c r="A10" s="186">
        <v>43191</v>
      </c>
      <c r="B10" s="187">
        <v>1653902980</v>
      </c>
      <c r="C10" s="187">
        <f>'3.01E Lead Sheet '!F15</f>
        <v>10522398.951545874</v>
      </c>
      <c r="D10" s="187">
        <f t="shared" si="1"/>
        <v>1664425378.951546</v>
      </c>
      <c r="E10" s="188">
        <f t="shared" si="2"/>
        <v>34.539813001177272</v>
      </c>
      <c r="F10" s="189">
        <f t="shared" si="0"/>
        <v>57488941.343400016</v>
      </c>
      <c r="G10" s="179"/>
      <c r="H10" s="179"/>
    </row>
    <row r="11" spans="1:10" ht="20.100000000000001" customHeight="1" x14ac:dyDescent="0.25">
      <c r="A11" s="186">
        <v>43221</v>
      </c>
      <c r="B11" s="187">
        <v>1504372645</v>
      </c>
      <c r="C11" s="187">
        <f>'3.01E Lead Sheet '!F16</f>
        <v>17148010.417034343</v>
      </c>
      <c r="D11" s="187">
        <f t="shared" si="1"/>
        <v>1521520655.4170344</v>
      </c>
      <c r="E11" s="188">
        <f t="shared" si="2"/>
        <v>34.539813001177272</v>
      </c>
      <c r="F11" s="189">
        <f t="shared" si="0"/>
        <v>52553038.915533051</v>
      </c>
      <c r="G11" s="179"/>
      <c r="H11" s="179"/>
    </row>
    <row r="12" spans="1:10" ht="20.100000000000001" customHeight="1" x14ac:dyDescent="0.25">
      <c r="A12" s="186">
        <v>43252</v>
      </c>
      <c r="B12" s="187">
        <v>1471897731</v>
      </c>
      <c r="C12" s="187">
        <f>'3.01E Lead Sheet '!F17</f>
        <v>-5572755.3521982115</v>
      </c>
      <c r="D12" s="187">
        <f t="shared" si="1"/>
        <v>1466324975.6478019</v>
      </c>
      <c r="E12" s="188">
        <f t="shared" si="2"/>
        <v>34.539813001177272</v>
      </c>
      <c r="F12" s="189">
        <f t="shared" si="0"/>
        <v>50646590.457830891</v>
      </c>
      <c r="G12" s="179"/>
      <c r="H12" s="179"/>
    </row>
    <row r="13" spans="1:10" ht="20.100000000000001" customHeight="1" x14ac:dyDescent="0.25">
      <c r="A13" s="186">
        <v>43282</v>
      </c>
      <c r="B13" s="187">
        <v>1637601475</v>
      </c>
      <c r="C13" s="187">
        <f>'3.01E Lead Sheet '!F18</f>
        <v>-60632708.159865469</v>
      </c>
      <c r="D13" s="187">
        <f t="shared" si="1"/>
        <v>1576968766.8401346</v>
      </c>
      <c r="E13" s="188">
        <f t="shared" si="2"/>
        <v>34.539813001177272</v>
      </c>
      <c r="F13" s="189">
        <f t="shared" si="0"/>
        <v>54468206.315355368</v>
      </c>
      <c r="G13" s="179"/>
      <c r="H13" s="179"/>
    </row>
    <row r="14" spans="1:10" ht="20.100000000000001" customHeight="1" x14ac:dyDescent="0.25">
      <c r="A14" s="186">
        <v>43313</v>
      </c>
      <c r="B14" s="187">
        <v>1561173442</v>
      </c>
      <c r="C14" s="187">
        <f>'3.01E Lead Sheet '!F19</f>
        <v>-31772221.999432098</v>
      </c>
      <c r="D14" s="187">
        <f t="shared" si="1"/>
        <v>1529401220.0005679</v>
      </c>
      <c r="E14" s="188">
        <f t="shared" si="2"/>
        <v>34.539813001177272</v>
      </c>
      <c r="F14" s="189">
        <f t="shared" si="0"/>
        <v>52825232.142591998</v>
      </c>
      <c r="G14" s="179"/>
      <c r="H14" s="179"/>
    </row>
    <row r="15" spans="1:10" ht="20.100000000000001" customHeight="1" x14ac:dyDescent="0.25">
      <c r="A15" s="186">
        <v>43344</v>
      </c>
      <c r="B15" s="187">
        <v>1431797979</v>
      </c>
      <c r="C15" s="187">
        <f>'3.01E Lead Sheet '!F20</f>
        <v>2059115.7977056094</v>
      </c>
      <c r="D15" s="187">
        <f t="shared" si="1"/>
        <v>1433857094.7977057</v>
      </c>
      <c r="E15" s="188">
        <f t="shared" si="2"/>
        <v>34.539813001177272</v>
      </c>
      <c r="F15" s="189">
        <f t="shared" si="0"/>
        <v>49525155.924724065</v>
      </c>
      <c r="G15" s="179"/>
      <c r="H15" s="179"/>
    </row>
    <row r="16" spans="1:10" ht="20.100000000000001" customHeight="1" x14ac:dyDescent="0.25">
      <c r="A16" s="186">
        <v>43374</v>
      </c>
      <c r="B16" s="187">
        <v>1652765986</v>
      </c>
      <c r="C16" s="187">
        <f>'3.01E Lead Sheet '!F21</f>
        <v>7093494.1109699905</v>
      </c>
      <c r="D16" s="187">
        <f t="shared" si="1"/>
        <v>1659859480.11097</v>
      </c>
      <c r="E16" s="188">
        <f t="shared" si="2"/>
        <v>34.539813001177272</v>
      </c>
      <c r="F16" s="189">
        <f t="shared" si="0"/>
        <v>57331236.051264226</v>
      </c>
      <c r="G16" s="179"/>
      <c r="H16" s="179"/>
    </row>
    <row r="17" spans="1:15" ht="20.100000000000001" customHeight="1" x14ac:dyDescent="0.25">
      <c r="A17" s="186">
        <v>43405</v>
      </c>
      <c r="B17" s="187">
        <v>1804882931</v>
      </c>
      <c r="C17" s="187">
        <f>'3.01E Lead Sheet '!F22</f>
        <v>77005916.314229101</v>
      </c>
      <c r="D17" s="187">
        <f t="shared" si="1"/>
        <v>1881888847.314229</v>
      </c>
      <c r="E17" s="188">
        <f t="shared" si="2"/>
        <v>34.539813001177272</v>
      </c>
      <c r="F17" s="189">
        <f t="shared" si="0"/>
        <v>65000088.875234522</v>
      </c>
      <c r="G17" s="179"/>
      <c r="H17" s="179"/>
    </row>
    <row r="18" spans="1:15" ht="20.100000000000001" customHeight="1" x14ac:dyDescent="0.25">
      <c r="A18" s="191">
        <v>43435</v>
      </c>
      <c r="B18" s="192">
        <v>2082766340</v>
      </c>
      <c r="C18" s="192">
        <f>'3.01E Lead Sheet '!F23</f>
        <v>82672720.116988808</v>
      </c>
      <c r="D18" s="192">
        <f t="shared" si="1"/>
        <v>2165439060.1169887</v>
      </c>
      <c r="E18" s="193">
        <f t="shared" si="2"/>
        <v>34.539813001177272</v>
      </c>
      <c r="F18" s="194">
        <f t="shared" si="0"/>
        <v>74793860.201885864</v>
      </c>
      <c r="G18" s="179"/>
      <c r="H18" s="179"/>
    </row>
    <row r="19" spans="1:15" s="181" customFormat="1" ht="20.100000000000001" customHeight="1" thickBot="1" x14ac:dyDescent="0.3">
      <c r="A19" s="195" t="s">
        <v>62</v>
      </c>
      <c r="B19" s="196">
        <f>SUM(B7:B18)</f>
        <v>20704280036</v>
      </c>
      <c r="C19" s="196">
        <f>SUM(C7:C18)</f>
        <v>135247697.97728741</v>
      </c>
      <c r="D19" s="196">
        <f>SUM(D7:D18)</f>
        <v>20839527733.977287</v>
      </c>
      <c r="E19" s="197"/>
      <c r="F19" s="198">
        <f>SUM(F7:F18)</f>
        <v>719793390.96442294</v>
      </c>
      <c r="G19" s="199"/>
      <c r="H19" s="200"/>
      <c r="O19" s="29"/>
    </row>
    <row r="20" spans="1:15" ht="20.100000000000001" customHeight="1" thickTop="1" x14ac:dyDescent="0.25">
      <c r="A20" s="201" t="s">
        <v>63</v>
      </c>
      <c r="B20" s="202"/>
      <c r="C20" s="202"/>
      <c r="D20" s="203"/>
      <c r="E20" s="203"/>
      <c r="F20" s="204"/>
      <c r="G20" s="203"/>
      <c r="H20" s="73"/>
      <c r="O20" s="29"/>
    </row>
    <row r="21" spans="1:15" x14ac:dyDescent="0.25">
      <c r="I21" s="205"/>
      <c r="J21" s="205"/>
    </row>
    <row r="22" spans="1:15" x14ac:dyDescent="0.25">
      <c r="I22" s="205"/>
      <c r="J22" s="205"/>
    </row>
    <row r="23" spans="1:15" x14ac:dyDescent="0.25">
      <c r="I23" s="206"/>
    </row>
    <row r="24" spans="1:15" x14ac:dyDescent="0.25">
      <c r="I24" s="206"/>
    </row>
    <row r="25" spans="1:15" x14ac:dyDescent="0.25">
      <c r="I25" s="206"/>
    </row>
    <row r="26" spans="1:15" x14ac:dyDescent="0.25">
      <c r="I26" s="206"/>
    </row>
    <row r="27" spans="1:15" x14ac:dyDescent="0.25">
      <c r="I27" s="206"/>
    </row>
    <row r="28" spans="1:15" x14ac:dyDescent="0.25">
      <c r="I28" s="206"/>
    </row>
    <row r="29" spans="1:15" x14ac:dyDescent="0.25">
      <c r="I29" s="206"/>
    </row>
    <row r="34" spans="4:8" x14ac:dyDescent="0.25">
      <c r="D34" s="207"/>
      <c r="E34" s="207"/>
      <c r="G34" s="207"/>
    </row>
    <row r="36" spans="4:8" x14ac:dyDescent="0.25">
      <c r="D36" s="181"/>
      <c r="E36" s="181"/>
      <c r="G36" s="181"/>
      <c r="H36" s="181"/>
    </row>
  </sheetData>
  <pageMargins left="0.7" right="0.7" top="0.7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zoomScale="90" zoomScaleNormal="90" workbookViewId="0">
      <selection sqref="A1:XFD1048576"/>
    </sheetView>
  </sheetViews>
  <sheetFormatPr defaultColWidth="9.109375" defaultRowHeight="13.2" x14ac:dyDescent="0.25"/>
  <cols>
    <col min="1" max="1" width="9.44140625" style="107" bestFit="1" customWidth="1"/>
    <col min="2" max="2" width="29.109375" style="107" customWidth="1"/>
    <col min="3" max="3" width="15.88671875" style="107" bestFit="1" customWidth="1"/>
    <col min="4" max="4" width="19.6640625" style="107" bestFit="1" customWidth="1"/>
    <col min="5" max="5" width="12.44140625" style="107" bestFit="1" customWidth="1"/>
    <col min="6" max="6" width="18.44140625" style="107" customWidth="1"/>
    <col min="7" max="7" width="13.88671875" style="107" bestFit="1" customWidth="1"/>
    <col min="8" max="8" width="9.5546875" style="107" customWidth="1"/>
    <col min="9" max="9" width="10.33203125" style="107" customWidth="1"/>
    <col min="10" max="10" width="14.109375" style="107" customWidth="1"/>
    <col min="11" max="11" width="14.5546875" style="107" bestFit="1" customWidth="1"/>
    <col min="12" max="12" width="12.44140625" style="107" customWidth="1"/>
    <col min="13" max="13" width="13.33203125" style="107" customWidth="1"/>
    <col min="14" max="14" width="11.44140625" style="107" bestFit="1" customWidth="1"/>
    <col min="15" max="15" width="9.109375" style="107"/>
    <col min="16" max="16" width="1" style="107" customWidth="1"/>
    <col min="17" max="18" width="10.6640625" style="107" customWidth="1"/>
    <col min="19" max="19" width="9.109375" style="107"/>
    <col min="20" max="20" width="0.6640625" style="107" customWidth="1"/>
    <col min="21" max="22" width="10.6640625" style="107" customWidth="1"/>
    <col min="23" max="23" width="10.6640625" style="107" bestFit="1" customWidth="1"/>
    <col min="24" max="24" width="0.6640625" style="107" customWidth="1"/>
    <col min="25" max="26" width="10.6640625" style="107" customWidth="1"/>
    <col min="27" max="16384" width="9.109375" style="107"/>
  </cols>
  <sheetData>
    <row r="1" spans="1:27" x14ac:dyDescent="0.25">
      <c r="F1" s="108"/>
    </row>
    <row r="2" spans="1:27" x14ac:dyDescent="0.25">
      <c r="A2" s="109" t="s">
        <v>235</v>
      </c>
      <c r="B2" s="109"/>
      <c r="C2" s="109"/>
      <c r="D2" s="109"/>
      <c r="E2" s="109"/>
      <c r="F2" s="109"/>
    </row>
    <row r="3" spans="1:27" x14ac:dyDescent="0.25">
      <c r="A3" s="109" t="s">
        <v>234</v>
      </c>
      <c r="B3" s="109"/>
      <c r="C3" s="109"/>
      <c r="D3" s="109"/>
      <c r="E3" s="109"/>
      <c r="F3" s="109"/>
    </row>
    <row r="4" spans="1:27" x14ac:dyDescent="0.25">
      <c r="A4" s="110" t="s">
        <v>233</v>
      </c>
      <c r="B4" s="110"/>
      <c r="C4" s="110"/>
      <c r="D4" s="110"/>
      <c r="E4" s="110"/>
      <c r="F4" s="110"/>
    </row>
    <row r="5" spans="1:27" ht="15.75" customHeight="1" x14ac:dyDescent="0.3">
      <c r="A5" s="109"/>
      <c r="B5" s="109"/>
      <c r="C5" s="109"/>
      <c r="D5" s="109"/>
      <c r="E5" s="109"/>
      <c r="F5" s="109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</row>
    <row r="6" spans="1:27" ht="15.6" x14ac:dyDescent="0.3">
      <c r="A6" s="111" t="s">
        <v>232</v>
      </c>
      <c r="B6" s="111"/>
      <c r="C6" s="111"/>
      <c r="D6" s="111"/>
      <c r="E6" s="111"/>
      <c r="F6" s="111"/>
      <c r="I6" s="269"/>
      <c r="J6" s="269"/>
      <c r="K6" s="269"/>
      <c r="L6" s="269"/>
      <c r="M6" s="269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</row>
    <row r="7" spans="1:27" ht="15.6" x14ac:dyDescent="0.3">
      <c r="A7" s="112" t="s">
        <v>1</v>
      </c>
      <c r="B7" s="113"/>
      <c r="C7" s="113"/>
      <c r="D7" s="113"/>
      <c r="G7" s="114"/>
      <c r="I7" s="269"/>
      <c r="J7" s="269"/>
      <c r="K7" s="269"/>
      <c r="L7" s="269"/>
      <c r="M7" s="269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x14ac:dyDescent="0.25">
      <c r="A8" s="115" t="s">
        <v>3</v>
      </c>
      <c r="B8" s="116" t="s">
        <v>2</v>
      </c>
      <c r="C8" s="116"/>
      <c r="D8" s="116"/>
      <c r="E8" s="117"/>
      <c r="F8" s="117"/>
      <c r="G8" s="114"/>
      <c r="O8" s="114"/>
      <c r="P8" s="114"/>
      <c r="Q8" s="118"/>
      <c r="R8" s="119"/>
      <c r="S8" s="119"/>
      <c r="T8" s="120"/>
      <c r="U8" s="118"/>
      <c r="V8" s="119"/>
      <c r="W8" s="119"/>
      <c r="X8" s="120"/>
      <c r="Y8" s="118"/>
      <c r="Z8" s="119"/>
      <c r="AA8" s="119"/>
    </row>
    <row r="9" spans="1:27" x14ac:dyDescent="0.25">
      <c r="A9" s="121"/>
      <c r="B9" s="24"/>
      <c r="C9" s="122"/>
      <c r="D9" s="123"/>
      <c r="E9" s="24"/>
      <c r="F9" s="24"/>
      <c r="G9" s="114"/>
      <c r="I9" s="121"/>
      <c r="J9" s="121"/>
      <c r="K9" s="121"/>
      <c r="L9" s="121"/>
      <c r="M9" s="121"/>
      <c r="O9" s="114"/>
      <c r="P9" s="114"/>
      <c r="Q9" s="118"/>
      <c r="R9" s="119"/>
      <c r="S9" s="119"/>
      <c r="T9" s="120"/>
      <c r="U9" s="118"/>
      <c r="V9" s="119"/>
      <c r="W9" s="119"/>
      <c r="X9" s="120"/>
      <c r="Y9" s="118"/>
      <c r="Z9" s="119"/>
      <c r="AA9" s="119"/>
    </row>
    <row r="10" spans="1:27" x14ac:dyDescent="0.25">
      <c r="A10" s="124">
        <v>1</v>
      </c>
      <c r="B10" s="125"/>
      <c r="C10" s="126" t="s">
        <v>231</v>
      </c>
      <c r="D10" s="127" t="s">
        <v>230</v>
      </c>
      <c r="E10" s="128" t="s">
        <v>229</v>
      </c>
      <c r="F10" s="129" t="s">
        <v>228</v>
      </c>
      <c r="G10" s="127"/>
      <c r="I10" s="130"/>
      <c r="P10" s="131"/>
      <c r="Q10" s="131"/>
      <c r="R10" s="131"/>
      <c r="S10" s="131"/>
      <c r="T10" s="114"/>
      <c r="U10" s="131"/>
      <c r="V10" s="131"/>
      <c r="W10" s="131"/>
      <c r="X10" s="114"/>
      <c r="Y10" s="131"/>
      <c r="Z10" s="131"/>
      <c r="AA10" s="131"/>
    </row>
    <row r="11" spans="1:27" x14ac:dyDescent="0.25">
      <c r="A11" s="124">
        <f t="shared" ref="A11:A47" si="0">A10+1</f>
        <v>2</v>
      </c>
      <c r="B11" s="125"/>
      <c r="C11" s="132" t="s">
        <v>227</v>
      </c>
      <c r="D11" s="133" t="s">
        <v>227</v>
      </c>
      <c r="E11" s="134" t="s">
        <v>226</v>
      </c>
      <c r="F11" s="135">
        <f>0.071</f>
        <v>7.0999999999999994E-2</v>
      </c>
      <c r="G11" s="136"/>
      <c r="H11" s="137"/>
      <c r="I11" s="138"/>
      <c r="P11" s="139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</row>
    <row r="12" spans="1:27" x14ac:dyDescent="0.25">
      <c r="A12" s="124">
        <f t="shared" si="0"/>
        <v>3</v>
      </c>
      <c r="B12" s="141">
        <v>43101</v>
      </c>
      <c r="C12" s="140">
        <v>2215266167</v>
      </c>
      <c r="D12" s="140">
        <v>2305584065.4216886</v>
      </c>
      <c r="E12" s="142">
        <f t="shared" ref="E12:E23" si="1">+D12-C12</f>
        <v>90317898.421688557</v>
      </c>
      <c r="F12" s="143">
        <f t="shared" ref="F12:F23" si="2">E12*(1-$F$11)</f>
        <v>83905327.63374868</v>
      </c>
      <c r="G12" s="114"/>
      <c r="H12" s="144"/>
      <c r="I12" s="145"/>
      <c r="P12" s="139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</row>
    <row r="13" spans="1:27" x14ac:dyDescent="0.25">
      <c r="A13" s="124">
        <f t="shared" si="0"/>
        <v>4</v>
      </c>
      <c r="B13" s="141">
        <v>43132</v>
      </c>
      <c r="C13" s="140">
        <v>2064898700</v>
      </c>
      <c r="D13" s="140">
        <v>2007991930.630203</v>
      </c>
      <c r="E13" s="142">
        <f t="shared" si="1"/>
        <v>-56906769.369796991</v>
      </c>
      <c r="F13" s="143">
        <f t="shared" si="2"/>
        <v>-52866388.744541407</v>
      </c>
      <c r="G13" s="114"/>
      <c r="H13" s="144"/>
      <c r="I13" s="145"/>
      <c r="P13" s="139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</row>
    <row r="14" spans="1:27" x14ac:dyDescent="0.25">
      <c r="A14" s="124">
        <f t="shared" si="0"/>
        <v>5</v>
      </c>
      <c r="B14" s="141">
        <v>43160</v>
      </c>
      <c r="C14" s="140">
        <v>2062414077</v>
      </c>
      <c r="D14" s="140">
        <v>2068533333.0722306</v>
      </c>
      <c r="E14" s="142">
        <f t="shared" si="1"/>
        <v>6119256.0722305775</v>
      </c>
      <c r="F14" s="143">
        <f t="shared" si="2"/>
        <v>5684788.8911022069</v>
      </c>
      <c r="H14" s="144"/>
      <c r="I14" s="145"/>
      <c r="P14" s="139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</row>
    <row r="15" spans="1:27" x14ac:dyDescent="0.25">
      <c r="A15" s="124">
        <f t="shared" si="0"/>
        <v>6</v>
      </c>
      <c r="B15" s="141">
        <v>43191</v>
      </c>
      <c r="C15" s="140">
        <v>1768077599</v>
      </c>
      <c r="D15" s="140">
        <v>1779404185.600157</v>
      </c>
      <c r="E15" s="142">
        <f t="shared" si="1"/>
        <v>11326586.600157022</v>
      </c>
      <c r="F15" s="143">
        <f t="shared" si="2"/>
        <v>10522398.951545874</v>
      </c>
      <c r="H15" s="144"/>
      <c r="I15" s="145"/>
      <c r="P15" s="139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</row>
    <row r="16" spans="1:27" x14ac:dyDescent="0.25">
      <c r="A16" s="124">
        <f t="shared" si="0"/>
        <v>7</v>
      </c>
      <c r="B16" s="141">
        <v>43221</v>
      </c>
      <c r="C16" s="140">
        <v>1593061438</v>
      </c>
      <c r="D16" s="140">
        <v>1611520006.8019745</v>
      </c>
      <c r="E16" s="142">
        <f t="shared" si="1"/>
        <v>18458568.801974535</v>
      </c>
      <c r="F16" s="143">
        <f t="shared" si="2"/>
        <v>17148010.417034343</v>
      </c>
      <c r="H16" s="144"/>
      <c r="I16" s="145"/>
      <c r="P16" s="139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</row>
    <row r="17" spans="1:27" x14ac:dyDescent="0.25">
      <c r="A17" s="124">
        <f t="shared" si="0"/>
        <v>8</v>
      </c>
      <c r="B17" s="141">
        <v>43252</v>
      </c>
      <c r="C17" s="140">
        <v>1565951960</v>
      </c>
      <c r="D17" s="140">
        <v>1559953299.7715843</v>
      </c>
      <c r="E17" s="142">
        <f t="shared" si="1"/>
        <v>-5998660.2284157276</v>
      </c>
      <c r="F17" s="143">
        <f t="shared" si="2"/>
        <v>-5572755.3521982115</v>
      </c>
      <c r="H17" s="144"/>
      <c r="I17" s="145"/>
      <c r="P17" s="139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</row>
    <row r="18" spans="1:27" x14ac:dyDescent="0.25">
      <c r="A18" s="124">
        <f t="shared" si="0"/>
        <v>9</v>
      </c>
      <c r="B18" s="141">
        <v>43282</v>
      </c>
      <c r="C18" s="140">
        <v>1749554292</v>
      </c>
      <c r="D18" s="140">
        <v>1684287652.4307153</v>
      </c>
      <c r="E18" s="142">
        <f t="shared" si="1"/>
        <v>-65266639.569284678</v>
      </c>
      <c r="F18" s="143">
        <f t="shared" si="2"/>
        <v>-60632708.159865469</v>
      </c>
      <c r="H18" s="144"/>
      <c r="I18" s="145"/>
      <c r="P18" s="139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</row>
    <row r="19" spans="1:27" x14ac:dyDescent="0.25">
      <c r="A19" s="124">
        <f t="shared" si="0"/>
        <v>10</v>
      </c>
      <c r="B19" s="141">
        <v>43313</v>
      </c>
      <c r="C19" s="140">
        <v>1709931727</v>
      </c>
      <c r="D19" s="140">
        <v>1675731272.7487276</v>
      </c>
      <c r="E19" s="142">
        <f t="shared" si="1"/>
        <v>-34200454.25127244</v>
      </c>
      <c r="F19" s="143">
        <f t="shared" si="2"/>
        <v>-31772221.999432098</v>
      </c>
      <c r="H19" s="144"/>
      <c r="I19" s="145"/>
      <c r="P19" s="139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</row>
    <row r="20" spans="1:27" x14ac:dyDescent="0.25">
      <c r="A20" s="124">
        <f t="shared" si="0"/>
        <v>11</v>
      </c>
      <c r="B20" s="141">
        <v>43344</v>
      </c>
      <c r="C20" s="140">
        <v>1543735913</v>
      </c>
      <c r="D20" s="140">
        <v>1545952399.3269167</v>
      </c>
      <c r="E20" s="142">
        <f t="shared" si="1"/>
        <v>2216486.3269166946</v>
      </c>
      <c r="F20" s="143">
        <f t="shared" si="2"/>
        <v>2059115.7977056094</v>
      </c>
      <c r="G20" s="125"/>
      <c r="H20" s="144"/>
      <c r="I20" s="145"/>
      <c r="P20" s="139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</row>
    <row r="21" spans="1:27" x14ac:dyDescent="0.25">
      <c r="A21" s="124">
        <f t="shared" si="0"/>
        <v>12</v>
      </c>
      <c r="B21" s="141">
        <v>43374</v>
      </c>
      <c r="C21" s="140">
        <v>1770977938</v>
      </c>
      <c r="D21" s="140">
        <v>1778613561.3702583</v>
      </c>
      <c r="E21" s="142">
        <f t="shared" si="1"/>
        <v>7635623.3702583313</v>
      </c>
      <c r="F21" s="143">
        <f t="shared" si="2"/>
        <v>7093494.1109699905</v>
      </c>
      <c r="H21" s="144"/>
      <c r="I21" s="145"/>
      <c r="P21" s="139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</row>
    <row r="22" spans="1:27" x14ac:dyDescent="0.25">
      <c r="A22" s="124">
        <f t="shared" si="0"/>
        <v>13</v>
      </c>
      <c r="B22" s="141">
        <v>43405</v>
      </c>
      <c r="C22" s="140">
        <v>1944414706</v>
      </c>
      <c r="D22" s="140">
        <v>2027305896.8656933</v>
      </c>
      <c r="E22" s="142">
        <f t="shared" si="1"/>
        <v>82891190.865693331</v>
      </c>
      <c r="F22" s="143">
        <f t="shared" si="2"/>
        <v>77005916.314229101</v>
      </c>
      <c r="H22" s="144"/>
      <c r="I22" s="146"/>
      <c r="P22" s="139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</row>
    <row r="23" spans="1:27" x14ac:dyDescent="0.25">
      <c r="A23" s="124">
        <f t="shared" si="0"/>
        <v>14</v>
      </c>
      <c r="B23" s="141">
        <v>43435</v>
      </c>
      <c r="C23" s="147">
        <v>2245387275</v>
      </c>
      <c r="D23" s="147">
        <v>2334378362.3164573</v>
      </c>
      <c r="E23" s="142">
        <f t="shared" si="1"/>
        <v>88991087.316457272</v>
      </c>
      <c r="F23" s="143">
        <f t="shared" si="2"/>
        <v>82672720.116988808</v>
      </c>
      <c r="H23" s="144"/>
      <c r="I23" s="146"/>
      <c r="P23" s="139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</row>
    <row r="24" spans="1:27" x14ac:dyDescent="0.25">
      <c r="A24" s="124">
        <f t="shared" si="0"/>
        <v>15</v>
      </c>
      <c r="C24" s="140">
        <f>SUM(C12:C23)</f>
        <v>22233671792</v>
      </c>
      <c r="D24" s="148">
        <f>SUM(D12:D23)</f>
        <v>22379255966.356602</v>
      </c>
      <c r="E24" s="149">
        <f>SUM(E12:E23)</f>
        <v>145584174.35660648</v>
      </c>
      <c r="F24" s="149">
        <f>SUM(F12:F23)</f>
        <v>135247697.97728741</v>
      </c>
      <c r="I24" s="150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</row>
    <row r="25" spans="1:27" x14ac:dyDescent="0.25">
      <c r="A25" s="124">
        <f t="shared" si="0"/>
        <v>16</v>
      </c>
      <c r="B25" s="24"/>
      <c r="C25" s="151"/>
      <c r="D25" s="151"/>
      <c r="E25" s="24"/>
      <c r="F25" s="24"/>
      <c r="P25" s="114"/>
      <c r="Q25" s="118"/>
      <c r="R25" s="119"/>
      <c r="S25" s="119"/>
      <c r="T25" s="114"/>
      <c r="U25" s="118"/>
      <c r="V25" s="119"/>
      <c r="W25" s="119"/>
      <c r="X25" s="120"/>
      <c r="Y25" s="118"/>
      <c r="Z25" s="119"/>
      <c r="AA25" s="119"/>
    </row>
    <row r="26" spans="1:27" x14ac:dyDescent="0.25">
      <c r="A26" s="124">
        <f t="shared" si="0"/>
        <v>17</v>
      </c>
      <c r="B26" s="107" t="s">
        <v>225</v>
      </c>
      <c r="C26" s="107" t="s">
        <v>224</v>
      </c>
      <c r="D26" s="152"/>
      <c r="E26" s="152">
        <v>128083498.13659537</v>
      </c>
      <c r="F26" s="153">
        <v>5034452</v>
      </c>
      <c r="G26" s="154"/>
      <c r="H26" s="152"/>
      <c r="I26" s="153"/>
      <c r="P26" s="114"/>
      <c r="Q26" s="118"/>
      <c r="R26" s="119"/>
      <c r="S26" s="119"/>
      <c r="T26" s="114"/>
      <c r="U26" s="118"/>
      <c r="V26" s="119"/>
      <c r="W26" s="119"/>
      <c r="X26" s="120"/>
      <c r="Y26" s="118"/>
      <c r="Z26" s="119"/>
      <c r="AA26" s="119"/>
    </row>
    <row r="27" spans="1:27" x14ac:dyDescent="0.25">
      <c r="A27" s="124">
        <f t="shared" si="0"/>
        <v>18</v>
      </c>
      <c r="B27" s="121"/>
      <c r="C27" s="107" t="s">
        <v>223</v>
      </c>
      <c r="E27" s="152">
        <v>9408474.2615028732</v>
      </c>
      <c r="F27" s="153">
        <v>339628</v>
      </c>
      <c r="G27" s="154"/>
      <c r="H27" s="152"/>
      <c r="I27" s="153"/>
      <c r="P27" s="131"/>
      <c r="Q27" s="131"/>
      <c r="R27" s="131"/>
      <c r="S27" s="131"/>
      <c r="T27" s="114"/>
      <c r="U27" s="131"/>
      <c r="V27" s="131"/>
      <c r="W27" s="131"/>
      <c r="X27" s="114"/>
      <c r="Y27" s="131"/>
      <c r="Z27" s="131"/>
      <c r="AA27" s="131"/>
    </row>
    <row r="28" spans="1:27" x14ac:dyDescent="0.25">
      <c r="A28" s="124">
        <f t="shared" si="0"/>
        <v>19</v>
      </c>
      <c r="C28" s="155" t="s">
        <v>222</v>
      </c>
      <c r="D28" s="156"/>
      <c r="E28" s="152">
        <v>1375551.6189382095</v>
      </c>
      <c r="F28" s="153">
        <v>48971</v>
      </c>
      <c r="G28" s="154"/>
      <c r="H28" s="152"/>
      <c r="I28" s="153"/>
      <c r="P28" s="139"/>
      <c r="Q28" s="140"/>
      <c r="R28" s="140"/>
      <c r="S28" s="140"/>
      <c r="T28" s="114"/>
      <c r="U28" s="140"/>
      <c r="V28" s="140"/>
      <c r="W28" s="140"/>
      <c r="X28" s="140"/>
      <c r="Y28" s="140"/>
      <c r="Z28" s="140"/>
      <c r="AA28" s="140"/>
    </row>
    <row r="29" spans="1:27" x14ac:dyDescent="0.25">
      <c r="A29" s="124">
        <f t="shared" si="0"/>
        <v>20</v>
      </c>
      <c r="B29" s="157"/>
      <c r="C29" s="107" t="s">
        <v>221</v>
      </c>
      <c r="D29" s="155"/>
      <c r="E29" s="152">
        <v>-4780347.3562464509</v>
      </c>
      <c r="F29" s="153">
        <v>-166014</v>
      </c>
      <c r="G29" s="154"/>
      <c r="H29" s="152"/>
      <c r="I29" s="153"/>
      <c r="P29" s="139"/>
      <c r="Q29" s="140"/>
      <c r="R29" s="140"/>
      <c r="S29" s="140"/>
      <c r="T29" s="114"/>
      <c r="U29" s="140"/>
      <c r="V29" s="140"/>
      <c r="W29" s="140"/>
      <c r="X29" s="140"/>
      <c r="Y29" s="140"/>
      <c r="Z29" s="140"/>
      <c r="AA29" s="140"/>
    </row>
    <row r="30" spans="1:27" x14ac:dyDescent="0.25">
      <c r="A30" s="124">
        <f t="shared" si="0"/>
        <v>21</v>
      </c>
      <c r="C30" s="155" t="s">
        <v>220</v>
      </c>
      <c r="E30" s="152">
        <v>-466216.36134378111</v>
      </c>
      <c r="F30" s="153">
        <v>-16598</v>
      </c>
      <c r="G30" s="154"/>
      <c r="H30" s="152"/>
      <c r="I30" s="153"/>
      <c r="P30" s="139"/>
      <c r="Q30" s="140"/>
      <c r="R30" s="140"/>
      <c r="S30" s="140"/>
      <c r="T30" s="114"/>
      <c r="U30" s="140"/>
      <c r="V30" s="140"/>
      <c r="W30" s="140"/>
      <c r="X30" s="140"/>
      <c r="Y30" s="140"/>
      <c r="Z30" s="140"/>
      <c r="AA30" s="140"/>
    </row>
    <row r="31" spans="1:27" x14ac:dyDescent="0.25">
      <c r="A31" s="124">
        <f t="shared" si="0"/>
        <v>22</v>
      </c>
      <c r="C31" s="155" t="s">
        <v>219</v>
      </c>
      <c r="E31" s="152">
        <v>-439249.76056518452</v>
      </c>
      <c r="F31" s="153">
        <v>-14844</v>
      </c>
      <c r="G31" s="154"/>
      <c r="H31" s="152"/>
      <c r="I31" s="153"/>
      <c r="P31" s="139"/>
      <c r="Q31" s="140"/>
      <c r="R31" s="140"/>
      <c r="S31" s="140"/>
      <c r="T31" s="114"/>
      <c r="U31" s="140"/>
      <c r="V31" s="140"/>
      <c r="W31" s="140"/>
      <c r="X31" s="140"/>
      <c r="Y31" s="140"/>
      <c r="Z31" s="140"/>
      <c r="AA31" s="140"/>
    </row>
    <row r="32" spans="1:27" x14ac:dyDescent="0.25">
      <c r="A32" s="124">
        <f t="shared" si="0"/>
        <v>23</v>
      </c>
      <c r="C32" s="107" t="s">
        <v>218</v>
      </c>
      <c r="E32" s="152">
        <v>-823233.98581287614</v>
      </c>
      <c r="F32" s="153">
        <v>-27061</v>
      </c>
      <c r="G32" s="154"/>
      <c r="H32" s="152"/>
      <c r="I32" s="153"/>
      <c r="P32" s="139"/>
      <c r="Q32" s="140"/>
      <c r="R32" s="140"/>
      <c r="S32" s="140"/>
      <c r="T32" s="114"/>
      <c r="U32" s="140"/>
      <c r="V32" s="140"/>
      <c r="W32" s="140"/>
      <c r="X32" s="140"/>
      <c r="Y32" s="140"/>
      <c r="Z32" s="140"/>
      <c r="AA32" s="140"/>
    </row>
    <row r="33" spans="1:28" x14ac:dyDescent="0.25">
      <c r="A33" s="124">
        <f t="shared" si="0"/>
        <v>24</v>
      </c>
      <c r="C33" s="158" t="s">
        <v>217</v>
      </c>
      <c r="E33" s="152">
        <v>2803305.1896940321</v>
      </c>
      <c r="F33" s="153">
        <v>75607</v>
      </c>
      <c r="G33" s="154"/>
      <c r="H33" s="152"/>
      <c r="I33" s="153"/>
      <c r="P33" s="139"/>
      <c r="Q33" s="140"/>
      <c r="R33" s="140"/>
      <c r="S33" s="140"/>
      <c r="T33" s="114"/>
      <c r="U33" s="140"/>
      <c r="V33" s="140"/>
      <c r="W33" s="140"/>
      <c r="X33" s="140"/>
      <c r="Y33" s="140"/>
      <c r="Z33" s="140"/>
      <c r="AA33" s="140"/>
    </row>
    <row r="34" spans="1:28" x14ac:dyDescent="0.25">
      <c r="A34" s="124">
        <f t="shared" si="0"/>
        <v>25</v>
      </c>
      <c r="C34" s="117" t="s">
        <v>216</v>
      </c>
      <c r="E34" s="152">
        <v>85916.234525271488</v>
      </c>
      <c r="F34" s="153">
        <v>3019</v>
      </c>
      <c r="G34" s="154"/>
      <c r="H34" s="152"/>
      <c r="I34" s="153"/>
      <c r="P34" s="139"/>
      <c r="Q34" s="140"/>
      <c r="R34" s="140"/>
      <c r="S34" s="140"/>
      <c r="T34" s="114"/>
      <c r="U34" s="140"/>
      <c r="V34" s="140"/>
      <c r="W34" s="140"/>
      <c r="X34" s="140"/>
      <c r="Y34" s="140"/>
      <c r="Z34" s="140"/>
      <c r="AA34" s="140"/>
    </row>
    <row r="35" spans="1:28" x14ac:dyDescent="0.25">
      <c r="A35" s="124">
        <f t="shared" si="0"/>
        <v>26</v>
      </c>
      <c r="B35" s="107" t="s">
        <v>215</v>
      </c>
      <c r="E35" s="149">
        <f>SUM(E26:E34)</f>
        <v>135247697.97728741</v>
      </c>
      <c r="F35" s="159">
        <f>SUM(F26:F34)</f>
        <v>5277160</v>
      </c>
      <c r="G35" s="153">
        <f>F35</f>
        <v>5277160</v>
      </c>
      <c r="H35" s="152"/>
      <c r="I35" s="153"/>
      <c r="P35" s="139"/>
      <c r="Q35" s="140"/>
      <c r="R35" s="140"/>
      <c r="S35" s="140"/>
      <c r="T35" s="114"/>
      <c r="U35" s="140"/>
      <c r="V35" s="140"/>
      <c r="W35" s="140"/>
      <c r="X35" s="140"/>
      <c r="Y35" s="140"/>
      <c r="Z35" s="140"/>
      <c r="AA35" s="140"/>
    </row>
    <row r="36" spans="1:28" x14ac:dyDescent="0.25">
      <c r="A36" s="124">
        <f t="shared" si="0"/>
        <v>27</v>
      </c>
      <c r="D36" s="160"/>
      <c r="E36" s="161"/>
      <c r="F36" s="162"/>
      <c r="P36" s="139"/>
      <c r="Q36" s="140"/>
      <c r="R36" s="140"/>
      <c r="S36" s="140"/>
      <c r="T36" s="114"/>
      <c r="U36" s="140"/>
      <c r="V36" s="140"/>
      <c r="W36" s="140"/>
      <c r="X36" s="140"/>
      <c r="Y36" s="140"/>
      <c r="Z36" s="140"/>
      <c r="AA36" s="140"/>
    </row>
    <row r="37" spans="1:28" x14ac:dyDescent="0.25">
      <c r="A37" s="124">
        <f t="shared" si="0"/>
        <v>28</v>
      </c>
      <c r="B37" s="163" t="s">
        <v>214</v>
      </c>
      <c r="C37" s="163"/>
      <c r="D37" s="163"/>
      <c r="E37" s="164">
        <v>8.4790000000000004E-3</v>
      </c>
      <c r="F37" s="165">
        <f>F35*E37</f>
        <v>44745.039640000003</v>
      </c>
      <c r="P37" s="139"/>
      <c r="Q37" s="140"/>
      <c r="R37" s="140"/>
      <c r="S37" s="140"/>
      <c r="T37" s="114"/>
      <c r="U37" s="140"/>
      <c r="V37" s="140"/>
      <c r="W37" s="140"/>
      <c r="X37" s="140"/>
      <c r="Y37" s="140"/>
      <c r="Z37" s="140"/>
      <c r="AA37" s="140"/>
    </row>
    <row r="38" spans="1:28" x14ac:dyDescent="0.25">
      <c r="A38" s="124">
        <f t="shared" si="0"/>
        <v>29</v>
      </c>
      <c r="B38" s="163" t="s">
        <v>213</v>
      </c>
      <c r="C38" s="163"/>
      <c r="D38" s="163"/>
      <c r="E38" s="164">
        <v>2E-3</v>
      </c>
      <c r="F38" s="166">
        <f>F35*E38</f>
        <v>10554.32</v>
      </c>
      <c r="P38" s="139"/>
      <c r="Q38" s="140"/>
      <c r="R38" s="140"/>
      <c r="S38" s="140"/>
      <c r="T38" s="114"/>
      <c r="U38" s="140"/>
      <c r="V38" s="140"/>
      <c r="W38" s="140"/>
      <c r="X38" s="140"/>
      <c r="Y38" s="140"/>
      <c r="Z38" s="140"/>
      <c r="AA38" s="140"/>
    </row>
    <row r="39" spans="1:28" x14ac:dyDescent="0.25">
      <c r="A39" s="124">
        <f t="shared" si="0"/>
        <v>30</v>
      </c>
      <c r="B39" s="163" t="s">
        <v>212</v>
      </c>
      <c r="C39" s="163"/>
      <c r="D39" s="163"/>
      <c r="E39" s="167"/>
      <c r="F39" s="168"/>
      <c r="G39" s="169">
        <f>SUM(F37:F38)</f>
        <v>55299.359640000002</v>
      </c>
      <c r="P39" s="139"/>
      <c r="Q39" s="140"/>
      <c r="R39" s="140"/>
      <c r="S39" s="140"/>
      <c r="T39" s="114"/>
      <c r="U39" s="140"/>
      <c r="V39" s="140"/>
      <c r="W39" s="140"/>
      <c r="X39" s="140"/>
      <c r="Y39" s="140"/>
      <c r="Z39" s="140"/>
      <c r="AA39" s="140"/>
    </row>
    <row r="40" spans="1:28" x14ac:dyDescent="0.25">
      <c r="A40" s="124">
        <f t="shared" si="0"/>
        <v>31</v>
      </c>
      <c r="B40" s="163"/>
      <c r="C40" s="163"/>
      <c r="D40" s="163"/>
      <c r="E40" s="167"/>
      <c r="F40" s="140"/>
      <c r="P40" s="139"/>
      <c r="Q40" s="140"/>
      <c r="R40" s="140"/>
      <c r="S40" s="140"/>
      <c r="T40" s="114"/>
      <c r="U40" s="140"/>
      <c r="V40" s="140"/>
      <c r="W40" s="140"/>
      <c r="X40" s="140"/>
      <c r="Y40" s="140"/>
      <c r="Z40" s="140"/>
      <c r="AA40" s="140"/>
    </row>
    <row r="41" spans="1:28" x14ac:dyDescent="0.25">
      <c r="A41" s="124">
        <f t="shared" si="0"/>
        <v>32</v>
      </c>
      <c r="B41" s="163" t="s">
        <v>211</v>
      </c>
      <c r="C41" s="163"/>
      <c r="D41" s="163"/>
      <c r="E41" s="170">
        <v>3.8406000000000003E-2</v>
      </c>
      <c r="F41" s="171">
        <f>F35*E41</f>
        <v>202674.60696</v>
      </c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</row>
    <row r="42" spans="1:28" x14ac:dyDescent="0.25">
      <c r="A42" s="124">
        <f t="shared" si="0"/>
        <v>33</v>
      </c>
      <c r="B42" s="163" t="s">
        <v>210</v>
      </c>
      <c r="C42" s="163"/>
      <c r="D42" s="163"/>
      <c r="E42" s="114"/>
      <c r="F42" s="168"/>
      <c r="G42" s="169">
        <f>SUM(F41)</f>
        <v>202674.60696</v>
      </c>
      <c r="P42" s="120"/>
      <c r="Q42" s="118"/>
      <c r="R42" s="119"/>
      <c r="S42" s="119"/>
      <c r="T42" s="114"/>
      <c r="U42" s="118"/>
      <c r="V42" s="119"/>
      <c r="W42" s="119"/>
      <c r="X42" s="120"/>
      <c r="Y42" s="118"/>
      <c r="Z42" s="119"/>
      <c r="AA42" s="119"/>
      <c r="AB42" s="172"/>
    </row>
    <row r="43" spans="1:28" x14ac:dyDescent="0.25">
      <c r="A43" s="124">
        <f t="shared" si="0"/>
        <v>34</v>
      </c>
      <c r="B43" s="163"/>
      <c r="C43" s="163"/>
      <c r="D43" s="163"/>
      <c r="E43" s="114"/>
      <c r="F43" s="173"/>
      <c r="G43" s="117"/>
      <c r="H43" s="153"/>
      <c r="P43" s="120"/>
      <c r="Q43" s="118"/>
      <c r="R43" s="119"/>
      <c r="S43" s="119"/>
      <c r="T43" s="114"/>
      <c r="U43" s="118"/>
      <c r="V43" s="119"/>
      <c r="W43" s="119"/>
      <c r="X43" s="120"/>
      <c r="Y43" s="118"/>
      <c r="Z43" s="119"/>
      <c r="AA43" s="119"/>
      <c r="AB43" s="152"/>
    </row>
    <row r="44" spans="1:28" x14ac:dyDescent="0.25">
      <c r="A44" s="124">
        <f t="shared" si="0"/>
        <v>35</v>
      </c>
      <c r="B44" s="163" t="s">
        <v>208</v>
      </c>
      <c r="C44" s="163"/>
      <c r="D44" s="163"/>
      <c r="E44" s="114"/>
      <c r="F44" s="168"/>
      <c r="G44" s="169">
        <f>G35-G39-G42</f>
        <v>5019186.0333999991</v>
      </c>
      <c r="H44" s="153"/>
      <c r="P44" s="114"/>
      <c r="Q44" s="131"/>
      <c r="R44" s="131"/>
      <c r="S44" s="131"/>
      <c r="T44" s="114"/>
      <c r="U44" s="131"/>
      <c r="V44" s="131"/>
      <c r="W44" s="131"/>
      <c r="X44" s="114"/>
      <c r="Y44" s="131"/>
      <c r="Z44" s="131"/>
      <c r="AA44" s="131"/>
    </row>
    <row r="45" spans="1:28" x14ac:dyDescent="0.25">
      <c r="A45" s="124">
        <f t="shared" si="0"/>
        <v>36</v>
      </c>
      <c r="B45" s="163"/>
      <c r="C45" s="163"/>
      <c r="D45" s="163"/>
      <c r="E45" s="114"/>
      <c r="F45" s="140"/>
      <c r="P45" s="140"/>
      <c r="Q45" s="140"/>
      <c r="R45" s="140"/>
      <c r="S45" s="140"/>
      <c r="T45" s="114"/>
      <c r="U45" s="140"/>
      <c r="V45" s="140"/>
      <c r="W45" s="140"/>
      <c r="X45" s="140"/>
      <c r="Y45" s="140"/>
      <c r="Z45" s="140"/>
      <c r="AA45" s="140"/>
      <c r="AB45" s="152"/>
    </row>
    <row r="46" spans="1:28" x14ac:dyDescent="0.25">
      <c r="A46" s="124">
        <f t="shared" si="0"/>
        <v>37</v>
      </c>
      <c r="B46" s="163" t="s">
        <v>209</v>
      </c>
      <c r="C46" s="163"/>
      <c r="D46" s="163"/>
      <c r="E46" s="174">
        <v>0.21</v>
      </c>
      <c r="F46" s="168"/>
      <c r="G46" s="175">
        <f>G44*E46</f>
        <v>1054029.0670139997</v>
      </c>
      <c r="P46" s="140"/>
      <c r="Q46" s="140"/>
      <c r="R46" s="140"/>
      <c r="S46" s="140"/>
      <c r="T46" s="114"/>
      <c r="U46" s="140"/>
      <c r="V46" s="140"/>
      <c r="W46" s="140"/>
      <c r="X46" s="140"/>
      <c r="Y46" s="140"/>
      <c r="Z46" s="140"/>
      <c r="AA46" s="140"/>
      <c r="AB46" s="152"/>
    </row>
    <row r="47" spans="1:28" ht="13.8" thickBot="1" x14ac:dyDescent="0.3">
      <c r="A47" s="124">
        <f t="shared" si="0"/>
        <v>38</v>
      </c>
      <c r="B47" s="163" t="s">
        <v>208</v>
      </c>
      <c r="C47" s="163"/>
      <c r="D47" s="163"/>
      <c r="E47" s="114"/>
      <c r="F47" s="176"/>
      <c r="G47" s="177">
        <f>G44-G46</f>
        <v>3965156.9663859997</v>
      </c>
      <c r="P47" s="140"/>
      <c r="Q47" s="140"/>
      <c r="R47" s="140"/>
      <c r="S47" s="140"/>
      <c r="T47" s="114"/>
      <c r="U47" s="140"/>
      <c r="V47" s="140"/>
      <c r="W47" s="140"/>
      <c r="X47" s="140"/>
      <c r="Y47" s="140"/>
      <c r="Z47" s="140"/>
      <c r="AA47" s="140"/>
      <c r="AB47" s="152"/>
    </row>
    <row r="48" spans="1:28" ht="13.8" thickTop="1" x14ac:dyDescent="0.25">
      <c r="A48" s="178"/>
      <c r="B48" s="24"/>
      <c r="C48" s="24"/>
      <c r="D48" s="24"/>
      <c r="E48" s="24"/>
      <c r="F48" s="24"/>
      <c r="P48" s="140"/>
      <c r="Q48" s="140"/>
      <c r="R48" s="140"/>
      <c r="S48" s="140"/>
      <c r="T48" s="114"/>
      <c r="U48" s="140"/>
      <c r="V48" s="140"/>
      <c r="W48" s="140"/>
      <c r="X48" s="140"/>
      <c r="Y48" s="140"/>
      <c r="Z48" s="140"/>
      <c r="AA48" s="140"/>
      <c r="AB48" s="152"/>
    </row>
    <row r="49" spans="1:28" x14ac:dyDescent="0.25">
      <c r="A49" s="178"/>
      <c r="B49" s="24"/>
      <c r="C49" s="24"/>
      <c r="D49" s="24"/>
      <c r="E49" s="24"/>
      <c r="F49" s="24"/>
      <c r="P49" s="140"/>
      <c r="Q49" s="140"/>
      <c r="R49" s="140"/>
      <c r="S49" s="140"/>
      <c r="T49" s="114"/>
      <c r="U49" s="140"/>
      <c r="V49" s="140"/>
      <c r="W49" s="140"/>
      <c r="X49" s="140"/>
      <c r="Y49" s="140"/>
      <c r="Z49" s="140"/>
      <c r="AA49" s="140"/>
      <c r="AB49" s="152"/>
    </row>
    <row r="50" spans="1:28" x14ac:dyDescent="0.25">
      <c r="A50" s="178"/>
      <c r="B50" s="24"/>
      <c r="C50" s="24"/>
      <c r="D50" s="24"/>
      <c r="E50" s="24"/>
      <c r="F50" s="24"/>
      <c r="P50" s="140"/>
      <c r="Q50" s="140"/>
      <c r="R50" s="140"/>
      <c r="S50" s="140"/>
      <c r="T50" s="114"/>
      <c r="U50" s="140"/>
      <c r="V50" s="140"/>
      <c r="W50" s="140"/>
      <c r="X50" s="140"/>
      <c r="Y50" s="140"/>
      <c r="Z50" s="140"/>
      <c r="AA50" s="140"/>
      <c r="AB50" s="152"/>
    </row>
    <row r="51" spans="1:28" x14ac:dyDescent="0.25">
      <c r="A51" s="178"/>
      <c r="B51" s="24"/>
      <c r="C51" s="24"/>
      <c r="D51" s="24"/>
      <c r="E51" s="24"/>
      <c r="F51" s="24"/>
      <c r="P51" s="140"/>
      <c r="Q51" s="140"/>
      <c r="R51" s="140"/>
      <c r="S51" s="140"/>
      <c r="T51" s="114"/>
      <c r="U51" s="140"/>
      <c r="V51" s="140"/>
      <c r="W51" s="140"/>
      <c r="X51" s="140"/>
      <c r="Y51" s="140"/>
      <c r="Z51" s="140"/>
      <c r="AA51" s="140"/>
      <c r="AB51" s="152"/>
    </row>
    <row r="52" spans="1:28" x14ac:dyDescent="0.25">
      <c r="A52" s="178"/>
      <c r="B52" s="24"/>
      <c r="P52" s="140"/>
      <c r="Q52" s="140"/>
      <c r="R52" s="140"/>
      <c r="S52" s="140"/>
      <c r="T52" s="114"/>
      <c r="U52" s="140"/>
      <c r="V52" s="140"/>
      <c r="W52" s="140"/>
      <c r="X52" s="140"/>
      <c r="Y52" s="140"/>
      <c r="Z52" s="140"/>
      <c r="AA52" s="140"/>
      <c r="AB52" s="152"/>
    </row>
    <row r="53" spans="1:28" x14ac:dyDescent="0.25">
      <c r="A53" s="125"/>
      <c r="P53" s="140"/>
      <c r="Q53" s="140"/>
      <c r="R53" s="140"/>
      <c r="S53" s="140"/>
      <c r="T53" s="114"/>
      <c r="U53" s="140"/>
      <c r="V53" s="140"/>
      <c r="W53" s="140"/>
      <c r="X53" s="140"/>
      <c r="Y53" s="140"/>
      <c r="Z53" s="140"/>
      <c r="AA53" s="140"/>
      <c r="AB53" s="152"/>
    </row>
    <row r="54" spans="1:28" x14ac:dyDescent="0.25">
      <c r="P54" s="140"/>
      <c r="Q54" s="140"/>
      <c r="R54" s="140"/>
      <c r="S54" s="140"/>
      <c r="T54" s="114"/>
      <c r="U54" s="140"/>
      <c r="V54" s="140"/>
      <c r="W54" s="140"/>
      <c r="X54" s="140"/>
      <c r="Y54" s="140"/>
      <c r="Z54" s="140"/>
      <c r="AA54" s="140"/>
      <c r="AB54" s="152"/>
    </row>
    <row r="55" spans="1:28" x14ac:dyDescent="0.25">
      <c r="P55" s="140"/>
      <c r="Q55" s="140"/>
      <c r="R55" s="140"/>
      <c r="S55" s="140"/>
      <c r="T55" s="114"/>
      <c r="U55" s="140"/>
      <c r="V55" s="140"/>
      <c r="W55" s="140"/>
      <c r="X55" s="140"/>
      <c r="Y55" s="140"/>
      <c r="Z55" s="140"/>
      <c r="AA55" s="140"/>
      <c r="AB55" s="152"/>
    </row>
    <row r="56" spans="1:28" x14ac:dyDescent="0.25">
      <c r="P56" s="140"/>
      <c r="Q56" s="140"/>
      <c r="R56" s="140"/>
      <c r="S56" s="140"/>
      <c r="T56" s="114"/>
      <c r="U56" s="140"/>
      <c r="V56" s="140"/>
      <c r="W56" s="140"/>
      <c r="X56" s="140"/>
      <c r="Y56" s="140"/>
      <c r="Z56" s="140"/>
      <c r="AA56" s="140"/>
      <c r="AB56" s="152"/>
    </row>
    <row r="57" spans="1:28" x14ac:dyDescent="0.25">
      <c r="P57" s="140"/>
      <c r="Q57" s="140"/>
      <c r="R57" s="140"/>
      <c r="S57" s="140"/>
      <c r="T57" s="114"/>
      <c r="U57" s="140"/>
      <c r="V57" s="140"/>
      <c r="W57" s="140"/>
      <c r="X57" s="140"/>
      <c r="Y57" s="140"/>
      <c r="Z57" s="140"/>
      <c r="AA57" s="140"/>
      <c r="AB57" s="152"/>
    </row>
    <row r="58" spans="1:28" x14ac:dyDescent="0.25"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</row>
    <row r="59" spans="1:28" x14ac:dyDescent="0.25">
      <c r="P59" s="114"/>
      <c r="Q59" s="118"/>
      <c r="R59" s="119"/>
      <c r="S59" s="119"/>
      <c r="T59" s="114"/>
      <c r="U59" s="114"/>
      <c r="V59" s="114"/>
      <c r="W59" s="114"/>
      <c r="X59" s="114"/>
      <c r="Y59" s="114"/>
      <c r="Z59" s="114"/>
      <c r="AA59" s="114"/>
    </row>
    <row r="60" spans="1:28" x14ac:dyDescent="0.25">
      <c r="P60" s="114"/>
      <c r="Q60" s="118"/>
      <c r="R60" s="119"/>
      <c r="S60" s="119"/>
      <c r="T60" s="114"/>
      <c r="U60" s="114"/>
      <c r="V60" s="114"/>
      <c r="W60" s="114"/>
      <c r="X60" s="114"/>
      <c r="Y60" s="114"/>
      <c r="Z60" s="114"/>
      <c r="AA60" s="114"/>
    </row>
    <row r="61" spans="1:28" x14ac:dyDescent="0.25">
      <c r="P61" s="114"/>
      <c r="Q61" s="131"/>
      <c r="R61" s="131"/>
      <c r="S61" s="131"/>
      <c r="T61" s="114"/>
      <c r="U61" s="114"/>
      <c r="V61" s="114"/>
      <c r="W61" s="114"/>
      <c r="X61" s="114"/>
      <c r="Y61" s="114"/>
      <c r="Z61" s="114"/>
      <c r="AA61" s="114"/>
    </row>
    <row r="62" spans="1:28" x14ac:dyDescent="0.25">
      <c r="P62" s="114"/>
      <c r="Q62" s="140"/>
      <c r="R62" s="140"/>
      <c r="S62" s="140"/>
      <c r="T62" s="114"/>
      <c r="U62" s="114"/>
      <c r="V62" s="114"/>
      <c r="W62" s="114"/>
      <c r="X62" s="114"/>
      <c r="Y62" s="114"/>
      <c r="Z62" s="114"/>
      <c r="AA62" s="114"/>
    </row>
    <row r="63" spans="1:28" x14ac:dyDescent="0.25">
      <c r="P63" s="114"/>
      <c r="Q63" s="140"/>
      <c r="R63" s="140"/>
      <c r="S63" s="140"/>
      <c r="T63" s="114"/>
      <c r="U63" s="114"/>
      <c r="V63" s="114"/>
      <c r="W63" s="114"/>
      <c r="X63" s="114"/>
      <c r="Y63" s="114"/>
      <c r="Z63" s="114"/>
      <c r="AA63" s="114"/>
    </row>
    <row r="64" spans="1:28" x14ac:dyDescent="0.25">
      <c r="P64" s="114"/>
      <c r="Q64" s="140"/>
      <c r="R64" s="140"/>
      <c r="S64" s="140"/>
      <c r="T64" s="114"/>
      <c r="U64" s="114"/>
      <c r="V64" s="114"/>
      <c r="W64" s="114"/>
      <c r="X64" s="114"/>
      <c r="Y64" s="114"/>
      <c r="Z64" s="114"/>
      <c r="AA64" s="114"/>
    </row>
    <row r="65" spans="15:27" x14ac:dyDescent="0.25">
      <c r="P65" s="114"/>
      <c r="Q65" s="140"/>
      <c r="R65" s="140"/>
      <c r="S65" s="140"/>
      <c r="T65" s="114"/>
      <c r="U65" s="114"/>
      <c r="V65" s="114"/>
      <c r="W65" s="114"/>
      <c r="X65" s="114"/>
      <c r="Y65" s="114"/>
      <c r="Z65" s="114"/>
      <c r="AA65" s="114"/>
    </row>
    <row r="66" spans="15:27" x14ac:dyDescent="0.25">
      <c r="P66" s="114"/>
      <c r="Q66" s="140"/>
      <c r="R66" s="140"/>
      <c r="S66" s="140"/>
      <c r="T66" s="114"/>
      <c r="U66" s="114"/>
      <c r="V66" s="114"/>
      <c r="W66" s="114"/>
      <c r="X66" s="114"/>
      <c r="Y66" s="114"/>
      <c r="Z66" s="114"/>
      <c r="AA66" s="114"/>
    </row>
    <row r="67" spans="15:27" x14ac:dyDescent="0.25">
      <c r="O67" s="146"/>
      <c r="P67" s="114"/>
      <c r="Q67" s="140"/>
      <c r="R67" s="140"/>
      <c r="S67" s="140"/>
      <c r="T67" s="114"/>
      <c r="U67" s="114"/>
      <c r="V67" s="114"/>
      <c r="W67" s="114"/>
      <c r="X67" s="114"/>
      <c r="Y67" s="114"/>
      <c r="Z67" s="114"/>
      <c r="AA67" s="114"/>
    </row>
    <row r="68" spans="15:27" x14ac:dyDescent="0.25">
      <c r="O68" s="146"/>
      <c r="P68" s="114"/>
      <c r="Q68" s="140"/>
      <c r="R68" s="140"/>
      <c r="S68" s="140"/>
      <c r="T68" s="114"/>
      <c r="U68" s="114"/>
      <c r="V68" s="114"/>
      <c r="W68" s="114"/>
      <c r="X68" s="114"/>
      <c r="Y68" s="114"/>
      <c r="Z68" s="114"/>
      <c r="AA68" s="114"/>
    </row>
    <row r="69" spans="15:27" x14ac:dyDescent="0.25">
      <c r="O69" s="146"/>
      <c r="P69" s="114"/>
      <c r="Q69" s="140"/>
      <c r="R69" s="140"/>
      <c r="S69" s="140"/>
      <c r="T69" s="114"/>
      <c r="U69" s="114"/>
      <c r="V69" s="114"/>
      <c r="W69" s="114"/>
      <c r="X69" s="114"/>
      <c r="Y69" s="114"/>
      <c r="Z69" s="114"/>
      <c r="AA69" s="114"/>
    </row>
    <row r="70" spans="15:27" x14ac:dyDescent="0.25">
      <c r="O70" s="146"/>
      <c r="P70" s="114"/>
      <c r="Q70" s="140"/>
      <c r="R70" s="140"/>
      <c r="S70" s="140"/>
      <c r="T70" s="114"/>
      <c r="U70" s="114"/>
      <c r="V70" s="114"/>
      <c r="W70" s="114"/>
      <c r="X70" s="114"/>
      <c r="Y70" s="114"/>
      <c r="Z70" s="114"/>
      <c r="AA70" s="114"/>
    </row>
    <row r="71" spans="15:27" x14ac:dyDescent="0.25">
      <c r="O71" s="146"/>
      <c r="P71" s="114"/>
      <c r="Q71" s="140"/>
      <c r="R71" s="140"/>
      <c r="S71" s="140"/>
      <c r="T71" s="114"/>
      <c r="U71" s="114"/>
      <c r="V71" s="114"/>
      <c r="W71" s="114"/>
      <c r="X71" s="114"/>
      <c r="Y71" s="114"/>
      <c r="Z71" s="114"/>
      <c r="AA71" s="114"/>
    </row>
    <row r="72" spans="15:27" x14ac:dyDescent="0.25">
      <c r="O72" s="146"/>
      <c r="P72" s="114"/>
      <c r="Q72" s="140"/>
      <c r="R72" s="140"/>
      <c r="S72" s="140"/>
      <c r="T72" s="114"/>
      <c r="U72" s="114"/>
      <c r="V72" s="114"/>
      <c r="W72" s="114"/>
      <c r="X72" s="114"/>
      <c r="Y72" s="114"/>
      <c r="Z72" s="114"/>
      <c r="AA72" s="114"/>
    </row>
    <row r="73" spans="15:27" x14ac:dyDescent="0.25">
      <c r="O73" s="146"/>
      <c r="P73" s="114"/>
      <c r="Q73" s="140"/>
      <c r="R73" s="140"/>
      <c r="S73" s="140"/>
      <c r="T73" s="114"/>
      <c r="U73" s="114"/>
      <c r="V73" s="114"/>
      <c r="W73" s="114"/>
      <c r="X73" s="114"/>
      <c r="Y73" s="114"/>
      <c r="Z73" s="114"/>
      <c r="AA73" s="114"/>
    </row>
    <row r="74" spans="15:27" x14ac:dyDescent="0.25">
      <c r="O74" s="146"/>
      <c r="P74" s="114"/>
      <c r="Q74" s="140"/>
      <c r="R74" s="140"/>
      <c r="S74" s="140"/>
      <c r="T74" s="114"/>
      <c r="U74" s="114"/>
      <c r="V74" s="114"/>
      <c r="W74" s="114"/>
      <c r="X74" s="114"/>
      <c r="Y74" s="114"/>
      <c r="Z74" s="114"/>
      <c r="AA74" s="114"/>
    </row>
  </sheetData>
  <mergeCells count="4">
    <mergeCell ref="O5:AA5"/>
    <mergeCell ref="I6:M6"/>
    <mergeCell ref="O6:AA6"/>
    <mergeCell ref="I7:M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sqref="A1:XFD1048576"/>
    </sheetView>
  </sheetViews>
  <sheetFormatPr defaultColWidth="9.109375" defaultRowHeight="10.199999999999999" x14ac:dyDescent="0.2"/>
  <cols>
    <col min="1" max="1" width="44.6640625" style="29" bestFit="1" customWidth="1"/>
    <col min="2" max="2" width="15.109375" style="29" bestFit="1" customWidth="1"/>
    <col min="3" max="16384" width="9.109375" style="29"/>
  </cols>
  <sheetData>
    <row r="1" spans="1:2" ht="13.8" x14ac:dyDescent="0.25">
      <c r="A1" s="94" t="s">
        <v>64</v>
      </c>
      <c r="B1" s="95"/>
    </row>
    <row r="2" spans="1:2" ht="13.8" x14ac:dyDescent="0.25">
      <c r="A2" s="94" t="s">
        <v>65</v>
      </c>
      <c r="B2" s="95"/>
    </row>
    <row r="3" spans="1:2" ht="13.8" x14ac:dyDescent="0.25">
      <c r="A3" s="94"/>
      <c r="B3" s="95"/>
    </row>
    <row r="4" spans="1:2" ht="15.6" x14ac:dyDescent="0.4">
      <c r="A4" s="96"/>
      <c r="B4" s="97"/>
    </row>
    <row r="5" spans="1:2" ht="13.8" x14ac:dyDescent="0.25">
      <c r="A5" s="1" t="s">
        <v>66</v>
      </c>
      <c r="B5" s="98">
        <v>1433345.375</v>
      </c>
    </row>
    <row r="6" spans="1:2" ht="13.8" x14ac:dyDescent="0.25">
      <c r="A6" s="1" t="s">
        <v>67</v>
      </c>
      <c r="B6" s="99"/>
    </row>
    <row r="7" spans="1:2" ht="13.8" x14ac:dyDescent="0.25">
      <c r="A7" s="1" t="s">
        <v>68</v>
      </c>
      <c r="B7" s="100"/>
    </row>
    <row r="8" spans="1:2" ht="13.8" x14ac:dyDescent="0.25">
      <c r="A8" s="96"/>
      <c r="B8" s="98">
        <f>SUM(B5:B7)</f>
        <v>1433345.375</v>
      </c>
    </row>
    <row r="9" spans="1:2" ht="13.8" x14ac:dyDescent="0.25">
      <c r="A9" s="96"/>
      <c r="B9" s="98"/>
    </row>
    <row r="10" spans="1:2" ht="13.8" x14ac:dyDescent="0.25">
      <c r="A10" s="96" t="s">
        <v>69</v>
      </c>
      <c r="B10" s="101">
        <f>-'Exh p1'!Q14</f>
        <v>719793390.96442294</v>
      </c>
    </row>
    <row r="11" spans="1:2" ht="13.8" x14ac:dyDescent="0.25">
      <c r="A11" s="96"/>
      <c r="B11" s="99"/>
    </row>
    <row r="12" spans="1:2" ht="13.8" x14ac:dyDescent="0.25">
      <c r="A12" s="96" t="s">
        <v>70</v>
      </c>
      <c r="B12" s="102">
        <f>SUM(B10:B11)</f>
        <v>719793390.96442294</v>
      </c>
    </row>
    <row r="13" spans="1:2" ht="13.8" x14ac:dyDescent="0.25">
      <c r="A13" s="103" t="s">
        <v>71</v>
      </c>
      <c r="B13" s="104">
        <f>'Exh p1'!Q64</f>
        <v>3.8406000000000003E-2</v>
      </c>
    </row>
    <row r="14" spans="1:2" ht="13.8" x14ac:dyDescent="0.25">
      <c r="A14" s="103" t="s">
        <v>72</v>
      </c>
      <c r="B14" s="105">
        <f>+B12*B13</f>
        <v>27644384.973379631</v>
      </c>
    </row>
    <row r="15" spans="1:2" ht="13.8" x14ac:dyDescent="0.25">
      <c r="A15" s="96"/>
      <c r="B15" s="1"/>
    </row>
    <row r="16" spans="1:2" ht="14.4" thickBot="1" x14ac:dyDescent="0.3">
      <c r="A16" s="96" t="s">
        <v>73</v>
      </c>
      <c r="B16" s="106">
        <f>+B14+B8</f>
        <v>29077730.348379631</v>
      </c>
    </row>
    <row r="17" spans="1:2" ht="14.4" thickTop="1" x14ac:dyDescent="0.25">
      <c r="A17" s="96"/>
      <c r="B17" s="1"/>
    </row>
    <row r="18" spans="1:2" ht="13.8" x14ac:dyDescent="0.25">
      <c r="A18" s="96"/>
      <c r="B1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XFD1048576"/>
    </sheetView>
  </sheetViews>
  <sheetFormatPr defaultColWidth="9.109375" defaultRowHeight="13.8" x14ac:dyDescent="0.25"/>
  <cols>
    <col min="1" max="1" width="74.33203125" style="8" bestFit="1" customWidth="1"/>
    <col min="2" max="2" width="18.88671875" style="8" bestFit="1" customWidth="1"/>
    <col min="3" max="16384" width="9.109375" style="10"/>
  </cols>
  <sheetData>
    <row r="1" spans="1:2" x14ac:dyDescent="0.25">
      <c r="B1" s="9" t="s">
        <v>204</v>
      </c>
    </row>
    <row r="2" spans="1:2" x14ac:dyDescent="0.25">
      <c r="A2" s="11" t="s">
        <v>76</v>
      </c>
      <c r="B2" s="12">
        <v>43465</v>
      </c>
    </row>
    <row r="3" spans="1:2" x14ac:dyDescent="0.25">
      <c r="A3" s="2" t="s">
        <v>158</v>
      </c>
      <c r="B3" s="13"/>
    </row>
    <row r="4" spans="1:2" x14ac:dyDescent="0.25">
      <c r="A4" s="2" t="s">
        <v>156</v>
      </c>
      <c r="B4" s="3">
        <v>-220642424.13999999</v>
      </c>
    </row>
    <row r="5" spans="1:2" x14ac:dyDescent="0.25">
      <c r="A5" s="2" t="s">
        <v>157</v>
      </c>
      <c r="B5" s="4">
        <v>151171612.16</v>
      </c>
    </row>
    <row r="6" spans="1:2" ht="14.4" thickBot="1" x14ac:dyDescent="0.3">
      <c r="B6" s="14">
        <f>SUM(B4:B5)</f>
        <v>-69470811.979999989</v>
      </c>
    </row>
    <row r="7" spans="1:2" ht="14.4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workbookViewId="0">
      <pane xSplit="2" ySplit="12" topLeftCell="C2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33203125" defaultRowHeight="14.4" x14ac:dyDescent="0.3"/>
  <cols>
    <col min="1" max="1" width="6.6640625" style="27" customWidth="1"/>
    <col min="2" max="2" width="41.88671875" style="27" customWidth="1"/>
    <col min="3" max="3" width="17.44140625" style="27" customWidth="1"/>
    <col min="4" max="4" width="12.6640625" style="27" customWidth="1"/>
    <col min="5" max="5" width="5.109375" style="27" bestFit="1" customWidth="1"/>
    <col min="6" max="6" width="14.88671875" style="27" customWidth="1"/>
    <col min="7" max="7" width="16" style="27" customWidth="1"/>
    <col min="8" max="8" width="9.33203125" style="29"/>
    <col min="9" max="9" width="15.33203125" style="29" bestFit="1" customWidth="1"/>
    <col min="10" max="10" width="13.109375" style="29" bestFit="1" customWidth="1"/>
    <col min="11" max="11" width="9.33203125" style="29"/>
    <col min="12" max="12" width="11.5546875" style="29" bestFit="1" customWidth="1"/>
    <col min="13" max="13" width="5.6640625" style="29" bestFit="1" customWidth="1"/>
    <col min="14" max="14" width="9.33203125" style="29"/>
    <col min="15" max="15" width="5.6640625" style="29" bestFit="1" customWidth="1"/>
    <col min="16" max="16" width="11.5546875" style="29" bestFit="1" customWidth="1"/>
    <col min="17" max="21" width="9.33203125" style="29"/>
    <col min="22" max="16384" width="9.33203125" style="27"/>
  </cols>
  <sheetData>
    <row r="1" spans="1:10" ht="17.399999999999999" x14ac:dyDescent="0.3">
      <c r="A1" s="25" t="s">
        <v>77</v>
      </c>
      <c r="B1" s="26"/>
      <c r="G1" s="28" t="s">
        <v>78</v>
      </c>
    </row>
    <row r="2" spans="1:10" ht="17.399999999999999" x14ac:dyDescent="0.3">
      <c r="A2" s="30" t="s">
        <v>79</v>
      </c>
      <c r="B2" s="31"/>
      <c r="G2" s="28" t="s">
        <v>165</v>
      </c>
    </row>
    <row r="3" spans="1:10" ht="15.6" x14ac:dyDescent="0.3">
      <c r="A3" s="32"/>
      <c r="B3" s="31"/>
      <c r="D3" s="33"/>
      <c r="G3" s="34"/>
    </row>
    <row r="4" spans="1:10" x14ac:dyDescent="0.3">
      <c r="A4" s="35" t="s">
        <v>80</v>
      </c>
      <c r="B4" s="36"/>
      <c r="C4" s="37" t="s">
        <v>81</v>
      </c>
      <c r="D4" s="38"/>
      <c r="E4" s="38"/>
      <c r="F4" s="38"/>
      <c r="G4" s="38"/>
    </row>
    <row r="5" spans="1:10" x14ac:dyDescent="0.3">
      <c r="A5" s="35">
        <v>3</v>
      </c>
      <c r="B5" s="39" t="s">
        <v>82</v>
      </c>
      <c r="C5" s="40">
        <v>199079031.3739852</v>
      </c>
      <c r="E5" s="41"/>
      <c r="F5" s="41"/>
      <c r="G5" s="41"/>
    </row>
    <row r="6" spans="1:10" x14ac:dyDescent="0.3">
      <c r="A6" s="35">
        <v>4</v>
      </c>
      <c r="B6" s="39" t="s">
        <v>83</v>
      </c>
      <c r="C6" s="42">
        <v>85738601.034227908</v>
      </c>
      <c r="E6" s="41"/>
      <c r="F6" s="41"/>
      <c r="G6" s="41"/>
    </row>
    <row r="7" spans="1:10" x14ac:dyDescent="0.3">
      <c r="A7" s="35">
        <v>5</v>
      </c>
      <c r="B7" s="39" t="s">
        <v>84</v>
      </c>
      <c r="C7" s="43">
        <v>1961447671.7378278</v>
      </c>
      <c r="E7" s="41"/>
      <c r="F7" s="44"/>
      <c r="G7" s="45"/>
    </row>
    <row r="8" spans="1:10" x14ac:dyDescent="0.3">
      <c r="A8" s="35">
        <v>6</v>
      </c>
      <c r="B8" s="41"/>
      <c r="C8" s="46">
        <f>SUM(C5:C7)</f>
        <v>2246265304.1460409</v>
      </c>
      <c r="E8" s="35"/>
      <c r="F8" s="35"/>
      <c r="G8" s="38"/>
    </row>
    <row r="9" spans="1:10" x14ac:dyDescent="0.3">
      <c r="A9" s="35">
        <v>7</v>
      </c>
      <c r="B9" s="39" t="s">
        <v>85</v>
      </c>
      <c r="C9" s="47">
        <v>6.9699999999999998E-2</v>
      </c>
      <c r="D9" s="48"/>
      <c r="E9" s="35"/>
      <c r="F9" s="35" t="s">
        <v>86</v>
      </c>
      <c r="G9" s="35" t="s">
        <v>87</v>
      </c>
    </row>
    <row r="10" spans="1:10" x14ac:dyDescent="0.3">
      <c r="A10" s="35">
        <v>8</v>
      </c>
      <c r="B10" s="49"/>
      <c r="C10" s="41"/>
      <c r="D10" s="35" t="s">
        <v>88</v>
      </c>
      <c r="E10" s="35"/>
      <c r="F10" s="35" t="s">
        <v>89</v>
      </c>
      <c r="G10" s="35" t="s">
        <v>89</v>
      </c>
    </row>
    <row r="11" spans="1:10" x14ac:dyDescent="0.3">
      <c r="A11" s="35">
        <v>9</v>
      </c>
      <c r="B11" s="50"/>
      <c r="C11" s="41"/>
      <c r="D11" s="51" t="s">
        <v>90</v>
      </c>
      <c r="E11" s="52" t="s">
        <v>91</v>
      </c>
      <c r="F11" s="52" t="s">
        <v>92</v>
      </c>
      <c r="G11" s="52" t="s">
        <v>93</v>
      </c>
    </row>
    <row r="12" spans="1:10" x14ac:dyDescent="0.3">
      <c r="A12" s="35" t="s">
        <v>94</v>
      </c>
      <c r="B12" s="39"/>
      <c r="C12" s="51" t="s">
        <v>95</v>
      </c>
      <c r="D12" s="51" t="s">
        <v>96</v>
      </c>
      <c r="E12" s="51" t="s">
        <v>97</v>
      </c>
      <c r="F12" s="52" t="s">
        <v>98</v>
      </c>
      <c r="G12" s="52" t="s">
        <v>99</v>
      </c>
    </row>
    <row r="13" spans="1:10" x14ac:dyDescent="0.3">
      <c r="A13" s="35">
        <v>10</v>
      </c>
      <c r="B13" s="39" t="s">
        <v>100</v>
      </c>
      <c r="C13" s="40">
        <f>C5*$C$9/(1-0.21)</f>
        <v>17564314.5402111</v>
      </c>
      <c r="D13" s="53">
        <f t="shared" ref="D13:D34" si="0">+C13/$C$39</f>
        <v>0.8475674343154771</v>
      </c>
      <c r="E13" s="54" t="s">
        <v>101</v>
      </c>
      <c r="F13" s="40">
        <f>+C13</f>
        <v>17564314.5402111</v>
      </c>
      <c r="G13" s="55">
        <v>0</v>
      </c>
      <c r="I13" s="56"/>
      <c r="J13" s="56"/>
    </row>
    <row r="14" spans="1:10" x14ac:dyDescent="0.3">
      <c r="A14" s="35" t="s">
        <v>102</v>
      </c>
      <c r="B14" s="39" t="s">
        <v>103</v>
      </c>
      <c r="C14" s="42">
        <v>4769481.1386719989</v>
      </c>
      <c r="D14" s="53">
        <f t="shared" si="0"/>
        <v>0.23015170233177235</v>
      </c>
      <c r="E14" s="54" t="s">
        <v>104</v>
      </c>
      <c r="F14" s="41"/>
      <c r="G14" s="44">
        <f>+C14</f>
        <v>4769481.1386719989</v>
      </c>
      <c r="I14" s="56"/>
      <c r="J14" s="56"/>
    </row>
    <row r="15" spans="1:10" x14ac:dyDescent="0.3">
      <c r="A15" s="35">
        <v>11</v>
      </c>
      <c r="B15" s="41" t="s">
        <v>105</v>
      </c>
      <c r="C15" s="57">
        <f>+C6*C9/(1-0.21)</f>
        <v>7564532.2684628917</v>
      </c>
      <c r="D15" s="53">
        <f t="shared" si="0"/>
        <v>0.36502712314218622</v>
      </c>
      <c r="E15" s="54" t="s">
        <v>101</v>
      </c>
      <c r="F15" s="44">
        <f>+C15</f>
        <v>7564532.2684628917</v>
      </c>
      <c r="G15" s="41"/>
      <c r="I15" s="56"/>
      <c r="J15" s="56"/>
    </row>
    <row r="16" spans="1:10" x14ac:dyDescent="0.3">
      <c r="A16" s="35">
        <v>12</v>
      </c>
      <c r="B16" s="41" t="s">
        <v>106</v>
      </c>
      <c r="C16" s="42">
        <f>C7*$C$9/(1-0.21)</f>
        <v>173054307.24066657</v>
      </c>
      <c r="D16" s="53">
        <f t="shared" si="0"/>
        <v>8.3507497459932871</v>
      </c>
      <c r="E16" s="54" t="s">
        <v>101</v>
      </c>
      <c r="F16" s="42">
        <f>+C16</f>
        <v>173054307.24066657</v>
      </c>
      <c r="G16" s="41"/>
      <c r="I16" s="56"/>
      <c r="J16" s="56"/>
    </row>
    <row r="17" spans="1:10" x14ac:dyDescent="0.3">
      <c r="A17" s="35">
        <v>13</v>
      </c>
      <c r="B17" s="41" t="s">
        <v>107</v>
      </c>
      <c r="C17" s="42">
        <v>69962949.456452519</v>
      </c>
      <c r="D17" s="53">
        <f t="shared" si="0"/>
        <v>3.3760678466668006</v>
      </c>
      <c r="E17" s="54" t="s">
        <v>104</v>
      </c>
      <c r="F17" s="42"/>
      <c r="G17" s="42">
        <f>+C17</f>
        <v>69962949.456452519</v>
      </c>
      <c r="I17" s="27"/>
      <c r="J17" s="27"/>
    </row>
    <row r="18" spans="1:10" x14ac:dyDescent="0.3">
      <c r="A18" s="35">
        <v>14</v>
      </c>
      <c r="B18" s="41" t="s">
        <v>108</v>
      </c>
      <c r="C18" s="42">
        <v>378349379.60972166</v>
      </c>
      <c r="D18" s="53">
        <f t="shared" si="0"/>
        <v>18.257280249480782</v>
      </c>
      <c r="E18" s="54" t="s">
        <v>104</v>
      </c>
      <c r="F18" s="42"/>
      <c r="G18" s="42">
        <f>+C18</f>
        <v>378349379.60972166</v>
      </c>
      <c r="I18" s="27"/>
      <c r="J18" s="27"/>
    </row>
    <row r="19" spans="1:10" x14ac:dyDescent="0.3">
      <c r="A19" s="35">
        <v>15</v>
      </c>
      <c r="B19" s="41" t="s">
        <v>109</v>
      </c>
      <c r="C19" s="42">
        <v>7238267.1874165451</v>
      </c>
      <c r="D19" s="53">
        <f t="shared" si="0"/>
        <v>0.34928317497864692</v>
      </c>
      <c r="E19" s="54" t="s">
        <v>101</v>
      </c>
      <c r="F19" s="42">
        <f>+C19</f>
        <v>7238267.1874165451</v>
      </c>
      <c r="G19" s="41"/>
      <c r="I19" s="27"/>
      <c r="J19" s="27"/>
    </row>
    <row r="20" spans="1:10" x14ac:dyDescent="0.3">
      <c r="A20" s="35" t="s">
        <v>110</v>
      </c>
      <c r="B20" s="58" t="s">
        <v>111</v>
      </c>
      <c r="C20" s="42">
        <v>8206061.1260157973</v>
      </c>
      <c r="D20" s="53">
        <f t="shared" si="0"/>
        <v>0.39598415061915598</v>
      </c>
      <c r="E20" s="54" t="s">
        <v>101</v>
      </c>
      <c r="F20" s="42">
        <f>+C20</f>
        <v>8206061.1260157973</v>
      </c>
      <c r="G20" s="41"/>
      <c r="I20" s="27"/>
      <c r="J20" s="27"/>
    </row>
    <row r="21" spans="1:10" x14ac:dyDescent="0.3">
      <c r="A21" s="35" t="s">
        <v>112</v>
      </c>
      <c r="B21" s="58" t="s">
        <v>113</v>
      </c>
      <c r="C21" s="42">
        <v>2763777.09</v>
      </c>
      <c r="D21" s="53">
        <f t="shared" si="0"/>
        <v>0.13336628946312651</v>
      </c>
      <c r="E21" s="54" t="s">
        <v>101</v>
      </c>
      <c r="F21" s="42">
        <f>+C21</f>
        <v>2763777.09</v>
      </c>
      <c r="G21" s="41"/>
      <c r="I21" s="27"/>
      <c r="J21" s="27"/>
    </row>
    <row r="22" spans="1:10" x14ac:dyDescent="0.3">
      <c r="A22" s="35" t="s">
        <v>114</v>
      </c>
      <c r="B22" s="58" t="s">
        <v>115</v>
      </c>
      <c r="C22" s="42">
        <v>1262663.2680056884</v>
      </c>
      <c r="D22" s="53">
        <f t="shared" si="0"/>
        <v>6.092991924153475E-2</v>
      </c>
      <c r="E22" s="54" t="s">
        <v>104</v>
      </c>
      <c r="F22" s="42"/>
      <c r="G22" s="42">
        <f>+C22</f>
        <v>1262663.2680056884</v>
      </c>
      <c r="I22" s="27"/>
      <c r="J22" s="27"/>
    </row>
    <row r="23" spans="1:10" x14ac:dyDescent="0.3">
      <c r="A23" s="35" t="s">
        <v>116</v>
      </c>
      <c r="B23" s="58" t="s">
        <v>117</v>
      </c>
      <c r="C23" s="42">
        <v>2119540.3036357597</v>
      </c>
      <c r="D23" s="53">
        <f t="shared" si="0"/>
        <v>0.1022785906599471</v>
      </c>
      <c r="E23" s="54" t="s">
        <v>101</v>
      </c>
      <c r="F23" s="42">
        <f>+C23</f>
        <v>2119540.3036357597</v>
      </c>
      <c r="G23" s="42"/>
      <c r="I23" s="27"/>
      <c r="J23" s="27"/>
    </row>
    <row r="24" spans="1:10" x14ac:dyDescent="0.3">
      <c r="A24" s="35" t="s">
        <v>118</v>
      </c>
      <c r="B24" s="58" t="s">
        <v>119</v>
      </c>
      <c r="C24" s="42">
        <v>313332.07420681993</v>
      </c>
      <c r="D24" s="53">
        <f t="shared" si="0"/>
        <v>1.5119864861007507E-2</v>
      </c>
      <c r="E24" s="54" t="s">
        <v>104</v>
      </c>
      <c r="F24" s="41"/>
      <c r="G24" s="44">
        <f>+C24</f>
        <v>313332.07420681993</v>
      </c>
      <c r="I24" s="27"/>
      <c r="J24" s="27"/>
    </row>
    <row r="25" spans="1:10" x14ac:dyDescent="0.3">
      <c r="A25" s="35">
        <v>16</v>
      </c>
      <c r="B25" s="41" t="s">
        <v>120</v>
      </c>
      <c r="C25" s="42">
        <v>171115373.90212974</v>
      </c>
      <c r="D25" s="53">
        <f t="shared" si="0"/>
        <v>8.2571863592018406</v>
      </c>
      <c r="E25" s="54" t="s">
        <v>104</v>
      </c>
      <c r="F25" s="41"/>
      <c r="G25" s="42">
        <f>+C25</f>
        <v>171115373.90212974</v>
      </c>
      <c r="I25" s="27"/>
      <c r="J25" s="27"/>
    </row>
    <row r="26" spans="1:10" x14ac:dyDescent="0.3">
      <c r="A26" s="35">
        <v>17</v>
      </c>
      <c r="B26" s="41" t="s">
        <v>121</v>
      </c>
      <c r="C26" s="42">
        <v>108374278.4084733</v>
      </c>
      <c r="D26" s="53">
        <f t="shared" si="0"/>
        <v>5.2296096660175699</v>
      </c>
      <c r="E26" s="54" t="s">
        <v>104</v>
      </c>
      <c r="F26" s="41"/>
      <c r="G26" s="42">
        <f>+C26</f>
        <v>108374278.4084733</v>
      </c>
      <c r="I26" s="27"/>
      <c r="J26" s="27"/>
    </row>
    <row r="27" spans="1:10" x14ac:dyDescent="0.3">
      <c r="A27" s="35">
        <v>18</v>
      </c>
      <c r="B27" s="41" t="s">
        <v>122</v>
      </c>
      <c r="C27" s="42">
        <v>-11639833.365925668</v>
      </c>
      <c r="D27" s="53">
        <f t="shared" si="0"/>
        <v>-0.56168111082453498</v>
      </c>
      <c r="E27" s="54" t="s">
        <v>101</v>
      </c>
      <c r="F27" s="42">
        <f>+C27</f>
        <v>-11639833.365925668</v>
      </c>
      <c r="G27" s="42"/>
      <c r="I27" s="27"/>
      <c r="J27" s="27"/>
    </row>
    <row r="28" spans="1:10" x14ac:dyDescent="0.3">
      <c r="A28" s="35">
        <v>19</v>
      </c>
      <c r="B28" s="41" t="s">
        <v>123</v>
      </c>
      <c r="C28" s="42">
        <v>138209148.65181684</v>
      </c>
      <c r="D28" s="53">
        <f t="shared" si="0"/>
        <v>6.6692937691116345</v>
      </c>
      <c r="E28" s="54" t="s">
        <v>101</v>
      </c>
      <c r="F28" s="42">
        <f>+C28</f>
        <v>138209148.65181684</v>
      </c>
      <c r="G28" s="42"/>
      <c r="I28" s="27"/>
      <c r="J28" s="27"/>
    </row>
    <row r="29" spans="1:10" x14ac:dyDescent="0.3">
      <c r="A29" s="35">
        <v>20</v>
      </c>
      <c r="B29" s="41" t="s">
        <v>124</v>
      </c>
      <c r="C29" s="42">
        <v>-36228866.83523047</v>
      </c>
      <c r="D29" s="53">
        <f t="shared" si="0"/>
        <v>-1.7482269314521348</v>
      </c>
      <c r="E29" s="54" t="s">
        <v>104</v>
      </c>
      <c r="F29" s="42"/>
      <c r="G29" s="42">
        <f>+C29</f>
        <v>-36228866.83523047</v>
      </c>
      <c r="I29" s="27"/>
      <c r="J29" s="27"/>
    </row>
    <row r="30" spans="1:10" x14ac:dyDescent="0.3">
      <c r="A30" s="59">
        <v>21</v>
      </c>
      <c r="B30" s="60" t="s">
        <v>125</v>
      </c>
      <c r="C30" s="42">
        <v>-16223873.273980575</v>
      </c>
      <c r="D30" s="53">
        <f t="shared" si="0"/>
        <v>-0.78288433140994562</v>
      </c>
      <c r="E30" s="54" t="s">
        <v>104</v>
      </c>
      <c r="F30" s="42"/>
      <c r="G30" s="42">
        <f>+C30</f>
        <v>-16223873.273980575</v>
      </c>
      <c r="I30" s="27"/>
      <c r="J30" s="27"/>
    </row>
    <row r="31" spans="1:10" x14ac:dyDescent="0.3">
      <c r="A31" s="35">
        <v>22</v>
      </c>
      <c r="B31" s="41" t="s">
        <v>126</v>
      </c>
      <c r="C31" s="42">
        <v>662134.87</v>
      </c>
      <c r="D31" s="53">
        <f t="shared" si="0"/>
        <v>3.1951372292491807E-2</v>
      </c>
      <c r="E31" s="54" t="s">
        <v>101</v>
      </c>
      <c r="F31" s="42">
        <f>+C31</f>
        <v>662134.87</v>
      </c>
      <c r="G31" s="41"/>
      <c r="I31" s="27"/>
      <c r="J31" s="27"/>
    </row>
    <row r="32" spans="1:10" x14ac:dyDescent="0.3">
      <c r="A32" s="35">
        <v>23</v>
      </c>
      <c r="B32" s="61" t="s">
        <v>127</v>
      </c>
      <c r="C32" s="42">
        <v>161583689.16694248</v>
      </c>
      <c r="D32" s="53">
        <f t="shared" si="0"/>
        <v>7.7972341329301305</v>
      </c>
      <c r="E32" s="54" t="s">
        <v>101</v>
      </c>
      <c r="F32" s="42">
        <f>+C32</f>
        <v>161583689.16694248</v>
      </c>
      <c r="G32" s="41"/>
      <c r="I32" s="27"/>
      <c r="J32" s="27"/>
    </row>
    <row r="33" spans="1:10" x14ac:dyDescent="0.3">
      <c r="A33" s="35">
        <v>24</v>
      </c>
      <c r="B33" s="36" t="s">
        <v>128</v>
      </c>
      <c r="C33" s="42">
        <v>3490805.0455442886</v>
      </c>
      <c r="D33" s="53">
        <f t="shared" si="0"/>
        <v>0.16844908290465715</v>
      </c>
      <c r="E33" s="54" t="s">
        <v>101</v>
      </c>
      <c r="F33" s="44">
        <f>+C33</f>
        <v>3490805.0455442886</v>
      </c>
      <c r="G33" s="41"/>
      <c r="I33" s="27"/>
      <c r="J33" s="27"/>
    </row>
    <row r="34" spans="1:10" x14ac:dyDescent="0.3">
      <c r="A34" s="35">
        <f t="shared" ref="A34:A45" si="1">+A33+1</f>
        <v>25</v>
      </c>
      <c r="B34" s="36" t="s">
        <v>129</v>
      </c>
      <c r="C34" s="42">
        <f>+F57</f>
        <v>19415532.153878614</v>
      </c>
      <c r="D34" s="53">
        <f t="shared" si="0"/>
        <v>0.93689809163112181</v>
      </c>
      <c r="E34" s="54" t="s">
        <v>101</v>
      </c>
      <c r="F34" s="42">
        <f>+C34</f>
        <v>19415532.153878614</v>
      </c>
      <c r="G34" s="41"/>
      <c r="I34" s="27"/>
      <c r="J34" s="27"/>
    </row>
    <row r="35" spans="1:10" x14ac:dyDescent="0.3">
      <c r="A35" s="35">
        <f t="shared" si="1"/>
        <v>26</v>
      </c>
      <c r="B35" s="62" t="s">
        <v>130</v>
      </c>
      <c r="C35" s="38"/>
      <c r="D35" s="38"/>
      <c r="E35" s="54"/>
      <c r="F35" s="38"/>
      <c r="G35" s="38"/>
    </row>
    <row r="36" spans="1:10" x14ac:dyDescent="0.3">
      <c r="A36" s="35">
        <f t="shared" si="1"/>
        <v>27</v>
      </c>
      <c r="B36" s="63" t="s">
        <v>131</v>
      </c>
      <c r="C36" s="64">
        <f>SUM(C13:C35)</f>
        <v>1211926994.0271161</v>
      </c>
      <c r="D36" s="65">
        <f>SUM(D13:D35)</f>
        <v>58.48163619215655</v>
      </c>
      <c r="E36" s="65"/>
      <c r="F36" s="64">
        <f>SUM(F13:F35)</f>
        <v>530232276.27866518</v>
      </c>
      <c r="G36" s="64">
        <f>SUM(G13:G35)</f>
        <v>681694717.74845052</v>
      </c>
    </row>
    <row r="37" spans="1:10" x14ac:dyDescent="0.3">
      <c r="A37" s="35">
        <f t="shared" si="1"/>
        <v>28</v>
      </c>
      <c r="B37" s="41" t="s">
        <v>132</v>
      </c>
      <c r="C37" s="66">
        <v>0.95238599999999995</v>
      </c>
      <c r="D37" s="66">
        <f>+C37</f>
        <v>0.95238599999999995</v>
      </c>
      <c r="E37" s="66"/>
      <c r="F37" s="67">
        <f>+D37</f>
        <v>0.95238599999999995</v>
      </c>
      <c r="G37" s="67">
        <f>+F37</f>
        <v>0.95238599999999995</v>
      </c>
    </row>
    <row r="38" spans="1:10" x14ac:dyDescent="0.3">
      <c r="A38" s="35">
        <f t="shared" si="1"/>
        <v>29</v>
      </c>
      <c r="B38" s="41" t="s">
        <v>133</v>
      </c>
      <c r="C38" s="64">
        <f>+C36/C37</f>
        <v>1272516599.3904951</v>
      </c>
      <c r="D38" s="65">
        <f>+D36/C37</f>
        <v>61.405392553183852</v>
      </c>
      <c r="E38" s="65"/>
      <c r="F38" s="64">
        <f>+F36/F37</f>
        <v>556740939.36561978</v>
      </c>
      <c r="G38" s="64">
        <f>+G36/G37</f>
        <v>715775660.02487493</v>
      </c>
    </row>
    <row r="39" spans="1:10" x14ac:dyDescent="0.3">
      <c r="A39" s="35">
        <f t="shared" si="1"/>
        <v>30</v>
      </c>
      <c r="B39" s="41" t="s">
        <v>134</v>
      </c>
      <c r="C39" s="57">
        <v>20723206</v>
      </c>
      <c r="D39" s="68" t="s">
        <v>135</v>
      </c>
      <c r="E39" s="68"/>
      <c r="F39" s="41"/>
      <c r="G39" s="41"/>
    </row>
    <row r="40" spans="1:10" x14ac:dyDescent="0.3">
      <c r="A40" s="35">
        <f t="shared" si="1"/>
        <v>31</v>
      </c>
      <c r="B40" s="39"/>
      <c r="C40" s="55"/>
      <c r="D40" s="69" t="s">
        <v>75</v>
      </c>
      <c r="E40" s="69"/>
      <c r="F40" s="69" t="s">
        <v>86</v>
      </c>
      <c r="G40" s="69" t="s">
        <v>136</v>
      </c>
    </row>
    <row r="41" spans="1:10" x14ac:dyDescent="0.3">
      <c r="A41" s="35">
        <f t="shared" si="1"/>
        <v>32</v>
      </c>
      <c r="B41" s="41" t="s">
        <v>137</v>
      </c>
      <c r="C41" s="38"/>
      <c r="D41" s="38"/>
      <c r="E41" s="38"/>
      <c r="F41" s="38"/>
      <c r="G41" s="38"/>
    </row>
    <row r="42" spans="1:10" x14ac:dyDescent="0.3">
      <c r="A42" s="35">
        <f t="shared" si="1"/>
        <v>33</v>
      </c>
      <c r="B42" s="41" t="s">
        <v>138</v>
      </c>
      <c r="C42" s="70"/>
      <c r="D42" s="53">
        <f>+F42+G42</f>
        <v>58.481636192156543</v>
      </c>
      <c r="E42" s="53"/>
      <c r="F42" s="53">
        <f>+F36/$C$39</f>
        <v>25.586401847217328</v>
      </c>
      <c r="G42" s="53">
        <f>+G36/$C$39</f>
        <v>32.895234344939219</v>
      </c>
    </row>
    <row r="43" spans="1:10" x14ac:dyDescent="0.3">
      <c r="A43" s="35">
        <f t="shared" si="1"/>
        <v>34</v>
      </c>
      <c r="B43" s="41" t="s">
        <v>133</v>
      </c>
      <c r="C43" s="38"/>
      <c r="D43" s="53">
        <f>+F43+G43</f>
        <v>61.405392553183837</v>
      </c>
      <c r="E43" s="53"/>
      <c r="F43" s="53">
        <f>+F38/$C$39</f>
        <v>26.865579552006565</v>
      </c>
      <c r="G43" s="53">
        <f>+G38/$C$39</f>
        <v>34.539813001177272</v>
      </c>
    </row>
    <row r="44" spans="1:10" x14ac:dyDescent="0.3">
      <c r="A44" s="35">
        <f t="shared" si="1"/>
        <v>35</v>
      </c>
      <c r="B44" s="41"/>
      <c r="C44" s="38"/>
      <c r="D44" s="38"/>
      <c r="E44" s="38"/>
      <c r="F44" s="38"/>
      <c r="G44" s="38"/>
    </row>
    <row r="45" spans="1:10" x14ac:dyDescent="0.3">
      <c r="A45" s="35">
        <f t="shared" si="1"/>
        <v>36</v>
      </c>
      <c r="B45" s="41" t="s">
        <v>139</v>
      </c>
      <c r="C45" s="38"/>
      <c r="D45" s="38"/>
      <c r="E45" s="38"/>
      <c r="F45" s="38"/>
      <c r="G45" s="38"/>
    </row>
    <row r="46" spans="1:10" x14ac:dyDescent="0.3">
      <c r="B46" s="71"/>
    </row>
    <row r="47" spans="1:10" ht="15" thickBot="1" x14ac:dyDescent="0.35">
      <c r="B47" s="72"/>
      <c r="C47" s="73"/>
      <c r="D47" s="74" t="s">
        <v>140</v>
      </c>
      <c r="E47" s="74"/>
      <c r="F47" s="74" t="s">
        <v>141</v>
      </c>
    </row>
    <row r="48" spans="1:10" x14ac:dyDescent="0.3">
      <c r="B48" s="75" t="s">
        <v>142</v>
      </c>
      <c r="C48" s="76"/>
      <c r="D48" s="77" t="s">
        <v>143</v>
      </c>
      <c r="E48" s="77"/>
      <c r="F48" s="78">
        <v>1</v>
      </c>
    </row>
    <row r="49" spans="1:7" x14ac:dyDescent="0.3">
      <c r="B49" s="79" t="s">
        <v>144</v>
      </c>
      <c r="C49" s="80">
        <v>407</v>
      </c>
      <c r="D49" s="81">
        <v>6553640.5497812936</v>
      </c>
      <c r="E49" s="81"/>
      <c r="F49" s="82">
        <f t="shared" ref="F49:F56" si="2">+D49*$F$48</f>
        <v>6553640.5497812936</v>
      </c>
      <c r="G49" s="33"/>
    </row>
    <row r="50" spans="1:7" x14ac:dyDescent="0.3">
      <c r="B50" s="83" t="s">
        <v>145</v>
      </c>
      <c r="C50" s="74">
        <v>407.3</v>
      </c>
      <c r="D50" s="84">
        <v>687420</v>
      </c>
      <c r="E50" s="84"/>
      <c r="F50" s="85">
        <f t="shared" si="2"/>
        <v>687420</v>
      </c>
      <c r="G50" s="33"/>
    </row>
    <row r="51" spans="1:7" x14ac:dyDescent="0.3">
      <c r="B51" s="83" t="s">
        <v>146</v>
      </c>
      <c r="C51" s="74">
        <v>407.3</v>
      </c>
      <c r="D51" s="84">
        <v>2885052</v>
      </c>
      <c r="E51" s="84"/>
      <c r="F51" s="85">
        <f t="shared" si="2"/>
        <v>2885052</v>
      </c>
      <c r="G51" s="33"/>
    </row>
    <row r="52" spans="1:7" x14ac:dyDescent="0.3">
      <c r="B52" s="86" t="s">
        <v>147</v>
      </c>
      <c r="C52" s="74">
        <v>407.3</v>
      </c>
      <c r="D52" s="84">
        <v>4520422.508572978</v>
      </c>
      <c r="E52" s="84"/>
      <c r="F52" s="85">
        <f t="shared" si="2"/>
        <v>4520422.508572978</v>
      </c>
      <c r="G52" s="33"/>
    </row>
    <row r="53" spans="1:7" x14ac:dyDescent="0.3">
      <c r="B53" s="86" t="s">
        <v>148</v>
      </c>
      <c r="C53" s="74">
        <v>407.3</v>
      </c>
      <c r="D53" s="84">
        <v>561126.34087998548</v>
      </c>
      <c r="E53" s="84"/>
      <c r="F53" s="85">
        <f t="shared" si="2"/>
        <v>561126.34087998548</v>
      </c>
      <c r="G53" s="33"/>
    </row>
    <row r="54" spans="1:7" x14ac:dyDescent="0.3">
      <c r="B54" s="86" t="s">
        <v>149</v>
      </c>
      <c r="C54" s="74">
        <v>407.3</v>
      </c>
      <c r="D54" s="84">
        <v>2203436.1529896799</v>
      </c>
      <c r="E54" s="84"/>
      <c r="F54" s="85">
        <f t="shared" si="2"/>
        <v>2203436.1529896799</v>
      </c>
      <c r="G54" s="33"/>
    </row>
    <row r="55" spans="1:7" x14ac:dyDescent="0.3">
      <c r="B55" s="86" t="s">
        <v>150</v>
      </c>
      <c r="C55" s="74">
        <v>407.4</v>
      </c>
      <c r="D55" s="84">
        <v>-1781873.2383453234</v>
      </c>
      <c r="E55" s="84"/>
      <c r="F55" s="85">
        <f t="shared" si="2"/>
        <v>-1781873.2383453234</v>
      </c>
      <c r="G55" s="33"/>
    </row>
    <row r="56" spans="1:7" x14ac:dyDescent="0.3">
      <c r="B56" s="86" t="s">
        <v>151</v>
      </c>
      <c r="C56" s="74">
        <v>407</v>
      </c>
      <c r="D56" s="87">
        <v>3786307.8400000003</v>
      </c>
      <c r="E56" s="87"/>
      <c r="F56" s="88">
        <f t="shared" si="2"/>
        <v>3786307.8400000003</v>
      </c>
      <c r="G56" s="33"/>
    </row>
    <row r="57" spans="1:7" x14ac:dyDescent="0.3">
      <c r="B57" s="83" t="s">
        <v>152</v>
      </c>
      <c r="C57" s="89"/>
      <c r="D57" s="87">
        <f>SUM(D49:D56)</f>
        <v>19415532.153878614</v>
      </c>
      <c r="E57" s="87"/>
      <c r="F57" s="88">
        <f>SUM(F49:F56)</f>
        <v>19415532.153878614</v>
      </c>
      <c r="G57" s="33">
        <v>0</v>
      </c>
    </row>
    <row r="58" spans="1:7" ht="15" thickBot="1" x14ac:dyDescent="0.35">
      <c r="B58" s="90"/>
      <c r="C58" s="91" t="s">
        <v>153</v>
      </c>
      <c r="D58" s="92">
        <v>0</v>
      </c>
      <c r="E58" s="92"/>
      <c r="F58" s="93">
        <f>+F57/D57-F48</f>
        <v>0</v>
      </c>
    </row>
    <row r="59" spans="1:7" x14ac:dyDescent="0.3">
      <c r="A59" s="29"/>
      <c r="B59" s="29"/>
      <c r="C59" s="29"/>
      <c r="D59" s="29"/>
      <c r="E59" s="29"/>
      <c r="F59" s="29"/>
    </row>
    <row r="60" spans="1:7" x14ac:dyDescent="0.3">
      <c r="A60" s="29"/>
      <c r="B60" s="29"/>
      <c r="C60" s="29"/>
      <c r="D60" s="29"/>
      <c r="E60" s="29"/>
      <c r="F60" s="29"/>
    </row>
    <row r="61" spans="1:7" x14ac:dyDescent="0.3">
      <c r="B61" s="89"/>
      <c r="C61" s="73"/>
      <c r="D61" s="73"/>
      <c r="E61" s="73"/>
      <c r="F61" s="73"/>
    </row>
  </sheetData>
  <pageMargins left="0.7" right="0.7" top="0.75" bottom="0.75" header="0.3" footer="0.3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36F3C42-8EDB-41CA-924D-03562168A9E4}"/>
</file>

<file path=customXml/itemProps2.xml><?xml version="1.0" encoding="utf-8"?>
<ds:datastoreItem xmlns:ds="http://schemas.openxmlformats.org/officeDocument/2006/customXml" ds:itemID="{257ADFB6-82FF-417D-8ECD-F1A33DB7D4B1}"/>
</file>

<file path=customXml/itemProps3.xml><?xml version="1.0" encoding="utf-8"?>
<ds:datastoreItem xmlns:ds="http://schemas.openxmlformats.org/officeDocument/2006/customXml" ds:itemID="{59AA30CE-84CD-47BC-9CA1-3E69AAAB4879}"/>
</file>

<file path=customXml/itemProps4.xml><?xml version="1.0" encoding="utf-8"?>
<ds:datastoreItem xmlns:ds="http://schemas.openxmlformats.org/officeDocument/2006/customXml" ds:itemID="{7F232463-AFD0-4045-B2D8-FA13AB0E4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Exh p1</vt:lpstr>
      <vt:lpstr>Exh p2</vt:lpstr>
      <vt:lpstr>wp's ==&gt;</vt:lpstr>
      <vt:lpstr>TY Sales</vt:lpstr>
      <vt:lpstr>3.01E Lead Sheet </vt:lpstr>
      <vt:lpstr>Other Taxes</vt:lpstr>
      <vt:lpstr>PSNCG</vt:lpstr>
      <vt:lpstr>Exh.A-1</vt:lpstr>
      <vt:lpstr>'Exh p1'!Print_Area</vt:lpstr>
      <vt:lpstr>'Exh p1'!Print_Titles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Peterson, Pete</cp:lastModifiedBy>
  <cp:lastPrinted>2019-11-14T15:39:55Z</cp:lastPrinted>
  <dcterms:created xsi:type="dcterms:W3CDTF">2019-05-30T20:04:16Z</dcterms:created>
  <dcterms:modified xsi:type="dcterms:W3CDTF">2020-02-28T19:47:48Z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