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0496" windowHeight="7320" tabRatio="780"/>
  </bookViews>
  <sheets>
    <sheet name="New Format" sheetId="85" r:id="rId1"/>
    <sheet name="Pg 1 CofCap" sheetId="3" r:id="rId2"/>
    <sheet name="Pg 2 Cost of Total Debt" sheetId="7" r:id="rId3"/>
    <sheet name="Pg 3 STD Int &amp; Fees-Details" sheetId="84" r:id="rId4"/>
    <sheet name="Pg 4 Reacquired Debt" sheetId="29" r:id="rId5"/>
  </sheets>
  <externalReferences>
    <externalReference r:id="rId6"/>
    <externalReference r:id="rId7"/>
  </externalReferences>
  <definedNames>
    <definedName name="_C_._DOWN_TERM_">'[1]CST STD!'!#REF!</definedName>
    <definedName name="_DOWN___COUPON_">'[1]CST STD!'!#REF!</definedName>
    <definedName name="_END__DOWN__DOW">'[1]CST STD!'!#REF!</definedName>
    <definedName name="_GOTO_TABLE__PR">'[1]CST STD!'!#REF!</definedName>
    <definedName name="_HOME__GOTO_YIE">'[1]CST STD!'!#REF!</definedName>
    <definedName name="_LET_YIELD__IRR">'[1]CST STD!'!#REF!</definedName>
    <definedName name="_RECASHFLOWS_">'[1]CST STD!'!#REF!</definedName>
    <definedName name="_RNCCASHFLOWS__">'[1]CST STD!'!#REF!</definedName>
    <definedName name="_WINDOWSOFF__PA">'[1]CST STD!'!#REF!</definedName>
    <definedName name="a">'[2]STD Cost'!#REF!</definedName>
    <definedName name="CASHFLOWS">'[1]CST STD!'!#REF!</definedName>
    <definedName name="_xlnm.Databas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'New Format'!$A$1:$G$49</definedName>
    <definedName name="_xlnm.Print_Area" localSheetId="1">'Pg 1 CofCap'!$A$1:$F$25</definedName>
    <definedName name="_xlnm.Print_Area" localSheetId="2">'Pg 2 Cost of Total Debt'!$A$1:$I$42</definedName>
    <definedName name="_xlnm.Print_Area" localSheetId="3">'Pg 3 STD Int &amp; Fees-Details'!$A$1:$P$61</definedName>
    <definedName name="_xlnm.Print_Area" localSheetId="4">'Pg 4 Reacquired Debt'!$A$1:$K$35</definedName>
    <definedName name="_xlnm.Print_Titles" localSheetId="4">'Pg 4 Reacquired Debt'!$1:$7</definedName>
    <definedName name="TABLE">'[1]CST STD!'!#REF!</definedName>
    <definedName name="Total_Annual_Charge">[2]BONDRATE!#REF!</definedName>
    <definedName name="Total_OS_Amount">[2]BONDRATE!#REF!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3" l="1"/>
  <c r="D11" i="85" l="1"/>
  <c r="D15" i="85" s="1"/>
  <c r="C11" i="85"/>
  <c r="C10" i="85"/>
  <c r="C14" i="85" s="1"/>
  <c r="A10" i="85"/>
  <c r="A11" i="85" s="1"/>
  <c r="A12" i="85" s="1"/>
  <c r="A13" i="85" s="1"/>
  <c r="A14" i="85" s="1"/>
  <c r="A15" i="85" s="1"/>
  <c r="A16" i="85" s="1"/>
  <c r="E11" i="85" l="1"/>
  <c r="C15" i="85"/>
  <c r="E15" i="85" s="1"/>
  <c r="C16" i="85"/>
  <c r="C12" i="85"/>
  <c r="H28" i="7" l="1"/>
  <c r="A40" i="7"/>
  <c r="A41" i="7"/>
  <c r="A42" i="7" s="1"/>
  <c r="A28" i="7"/>
  <c r="A29" i="7"/>
  <c r="A30" i="7"/>
  <c r="A31" i="7"/>
  <c r="A32" i="7" s="1"/>
  <c r="A33" i="7" s="1"/>
  <c r="A34" i="7" s="1"/>
  <c r="A35" i="7" s="1"/>
  <c r="A36" i="7" s="1"/>
  <c r="A37" i="7" s="1"/>
  <c r="A38" i="7" s="1"/>
  <c r="A39" i="7" s="1"/>
  <c r="K9" i="29" l="1"/>
  <c r="P52" i="84"/>
  <c r="P53" i="84"/>
  <c r="P54" i="84"/>
  <c r="P55" i="84"/>
  <c r="P56" i="84"/>
  <c r="I28" i="7"/>
  <c r="I31" i="7" s="1"/>
  <c r="G11" i="7" l="1"/>
  <c r="H11" i="7" s="1"/>
  <c r="D57" i="84" l="1"/>
  <c r="A35" i="29" l="1"/>
  <c r="A34" i="29"/>
  <c r="A33" i="29"/>
  <c r="A32" i="29"/>
  <c r="A31" i="29"/>
  <c r="A30" i="29"/>
  <c r="A29" i="29"/>
  <c r="A28" i="29"/>
  <c r="K29" i="29"/>
  <c r="A27" i="29"/>
  <c r="K26" i="29"/>
  <c r="A26" i="29"/>
  <c r="K25" i="29"/>
  <c r="A25" i="29"/>
  <c r="K24" i="29"/>
  <c r="A24" i="29"/>
  <c r="K23" i="29"/>
  <c r="A23" i="29"/>
  <c r="K22" i="29"/>
  <c r="A22" i="29"/>
  <c r="K21" i="29"/>
  <c r="A21" i="29"/>
  <c r="K20" i="29"/>
  <c r="A20" i="29"/>
  <c r="K19" i="29"/>
  <c r="D19" i="29"/>
  <c r="A19" i="29"/>
  <c r="K18" i="29"/>
  <c r="D18" i="29"/>
  <c r="A18" i="29"/>
  <c r="K17" i="29"/>
  <c r="D17" i="29"/>
  <c r="A17" i="29"/>
  <c r="K16" i="29"/>
  <c r="D16" i="29"/>
  <c r="A16" i="29"/>
  <c r="K15" i="29"/>
  <c r="A15" i="29"/>
  <c r="K14" i="29"/>
  <c r="A14" i="29"/>
  <c r="K13" i="29"/>
  <c r="A13" i="29"/>
  <c r="K12" i="29"/>
  <c r="A12" i="29"/>
  <c r="K11" i="29"/>
  <c r="H11" i="29"/>
  <c r="D11" i="29"/>
  <c r="A11" i="29"/>
  <c r="K10" i="29"/>
  <c r="H10" i="29"/>
  <c r="D10" i="29"/>
  <c r="A10" i="29"/>
  <c r="A9" i="29"/>
  <c r="A8" i="29"/>
  <c r="A7" i="29"/>
  <c r="A6" i="29"/>
  <c r="A3" i="29"/>
  <c r="A61" i="84"/>
  <c r="O57" i="84"/>
  <c r="N57" i="84"/>
  <c r="M57" i="84"/>
  <c r="L57" i="84"/>
  <c r="K57" i="84"/>
  <c r="J57" i="84"/>
  <c r="I57" i="84"/>
  <c r="H57" i="84"/>
  <c r="G57" i="84"/>
  <c r="F57" i="84"/>
  <c r="E57" i="84"/>
  <c r="A57" i="84"/>
  <c r="A56" i="84"/>
  <c r="A55" i="84"/>
  <c r="A54" i="84"/>
  <c r="A53" i="84"/>
  <c r="A52" i="84"/>
  <c r="P51" i="84"/>
  <c r="A51" i="84"/>
  <c r="A50" i="84"/>
  <c r="P44" i="84"/>
  <c r="O44" i="84"/>
  <c r="N44" i="84"/>
  <c r="M44" i="84"/>
  <c r="L44" i="84"/>
  <c r="K44" i="84"/>
  <c r="J44" i="84"/>
  <c r="I44" i="84"/>
  <c r="H44" i="84"/>
  <c r="G44" i="84"/>
  <c r="F44" i="84"/>
  <c r="E44" i="84"/>
  <c r="D44" i="84"/>
  <c r="A44" i="84"/>
  <c r="O43" i="84"/>
  <c r="N43" i="84"/>
  <c r="M43" i="84"/>
  <c r="L43" i="84"/>
  <c r="K43" i="84"/>
  <c r="J43" i="84"/>
  <c r="I43" i="84"/>
  <c r="H43" i="84"/>
  <c r="G43" i="84"/>
  <c r="F43" i="84"/>
  <c r="E43" i="84"/>
  <c r="D43" i="84"/>
  <c r="A43" i="84"/>
  <c r="O42" i="84"/>
  <c r="N42" i="84"/>
  <c r="M42" i="84"/>
  <c r="L42" i="84"/>
  <c r="K42" i="84"/>
  <c r="J42" i="84"/>
  <c r="I42" i="84"/>
  <c r="H42" i="84"/>
  <c r="G42" i="84"/>
  <c r="F42" i="84"/>
  <c r="E42" i="84"/>
  <c r="A42" i="84"/>
  <c r="A41" i="84"/>
  <c r="A39" i="84"/>
  <c r="A38" i="84"/>
  <c r="A37" i="84"/>
  <c r="A35" i="84"/>
  <c r="A34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A33" i="84"/>
  <c r="A32" i="84"/>
  <c r="A30" i="84"/>
  <c r="A28" i="84"/>
  <c r="A27" i="84"/>
  <c r="A26" i="84"/>
  <c r="A25" i="84"/>
  <c r="O23" i="84"/>
  <c r="N23" i="84"/>
  <c r="M23" i="84"/>
  <c r="L23" i="84"/>
  <c r="K23" i="84"/>
  <c r="J23" i="84"/>
  <c r="I23" i="84"/>
  <c r="H23" i="84"/>
  <c r="G23" i="84"/>
  <c r="F23" i="84"/>
  <c r="E23" i="84"/>
  <c r="D23" i="84"/>
  <c r="A23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A21" i="84"/>
  <c r="C20" i="84"/>
  <c r="A20" i="84"/>
  <c r="A19" i="84"/>
  <c r="O17" i="84"/>
  <c r="N17" i="84"/>
  <c r="M17" i="84"/>
  <c r="L17" i="84"/>
  <c r="K17" i="84"/>
  <c r="J17" i="84"/>
  <c r="I17" i="84"/>
  <c r="H17" i="84"/>
  <c r="G17" i="84"/>
  <c r="F17" i="84"/>
  <c r="E17" i="84"/>
  <c r="D17" i="84"/>
  <c r="A17" i="84"/>
  <c r="D16" i="84"/>
  <c r="E16" i="84" s="1"/>
  <c r="A16" i="84"/>
  <c r="A15" i="84"/>
  <c r="A14" i="84"/>
  <c r="A12" i="84"/>
  <c r="A11" i="84"/>
  <c r="A10" i="84"/>
  <c r="A9" i="84"/>
  <c r="A7" i="84"/>
  <c r="O6" i="84"/>
  <c r="N6" i="84"/>
  <c r="M6" i="84"/>
  <c r="L6" i="84"/>
  <c r="K6" i="84"/>
  <c r="J6" i="84"/>
  <c r="I6" i="84"/>
  <c r="H6" i="84"/>
  <c r="G6" i="84"/>
  <c r="F6" i="84"/>
  <c r="E6" i="84"/>
  <c r="D6" i="84"/>
  <c r="A6" i="84"/>
  <c r="A3" i="84"/>
  <c r="J46" i="7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F22" i="3"/>
  <c r="D18" i="3"/>
  <c r="H37" i="7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P57" i="84" l="1"/>
  <c r="D20" i="84"/>
  <c r="F16" i="84"/>
  <c r="E20" i="84"/>
  <c r="H36" i="7"/>
  <c r="H38" i="7" s="1"/>
  <c r="G27" i="7"/>
  <c r="H27" i="7" s="1"/>
  <c r="H31" i="7" s="1"/>
  <c r="D21" i="3"/>
  <c r="F20" i="84" l="1"/>
  <c r="G16" i="84"/>
  <c r="P58" i="84"/>
  <c r="P59" i="84" s="1"/>
  <c r="F16" i="3" s="1"/>
  <c r="G31" i="7"/>
  <c r="E18" i="3" s="1"/>
  <c r="F18" i="3" s="1"/>
  <c r="C7" i="84"/>
  <c r="C10" i="84" s="1"/>
  <c r="P46" i="84"/>
  <c r="K31" i="29"/>
  <c r="K33" i="29" s="1"/>
  <c r="F19" i="3" s="1"/>
  <c r="H16" i="84" l="1"/>
  <c r="G20" i="84"/>
  <c r="F20" i="3"/>
  <c r="D7" i="84"/>
  <c r="H20" i="84" l="1"/>
  <c r="I16" i="84"/>
  <c r="E7" i="84"/>
  <c r="D10" i="84"/>
  <c r="D26" i="84" s="1"/>
  <c r="C11" i="84"/>
  <c r="J16" i="84" l="1"/>
  <c r="I20" i="84"/>
  <c r="C34" i="84"/>
  <c r="C35" i="84" s="1"/>
  <c r="F7" i="84"/>
  <c r="E10" i="84"/>
  <c r="E11" i="84" s="1"/>
  <c r="C12" i="84"/>
  <c r="D11" i="84"/>
  <c r="K16" i="84" l="1"/>
  <c r="J20" i="84"/>
  <c r="E26" i="84"/>
  <c r="D34" i="84"/>
  <c r="D35" i="84" s="1"/>
  <c r="E27" i="84"/>
  <c r="F10" i="84"/>
  <c r="F11" i="84" s="1"/>
  <c r="F27" i="84" s="1"/>
  <c r="G7" i="84"/>
  <c r="D12" i="84"/>
  <c r="D27" i="84"/>
  <c r="E34" i="84"/>
  <c r="E35" i="84" s="1"/>
  <c r="E12" i="84"/>
  <c r="K20" i="84" l="1"/>
  <c r="L16" i="84"/>
  <c r="E28" i="84"/>
  <c r="E30" i="84" s="1"/>
  <c r="E38" i="84"/>
  <c r="E39" i="84" s="1"/>
  <c r="D38" i="84"/>
  <c r="F26" i="84"/>
  <c r="F28" i="84" s="1"/>
  <c r="H7" i="84"/>
  <c r="G10" i="84"/>
  <c r="G11" i="84" s="1"/>
  <c r="F34" i="84"/>
  <c r="F35" i="84" s="1"/>
  <c r="D28" i="84"/>
  <c r="F12" i="84"/>
  <c r="M16" i="84" l="1"/>
  <c r="L20" i="84"/>
  <c r="G34" i="84"/>
  <c r="G35" i="84" s="1"/>
  <c r="G38" i="84" s="1"/>
  <c r="G39" i="84" s="1"/>
  <c r="G27" i="84"/>
  <c r="G26" i="84"/>
  <c r="G12" i="84"/>
  <c r="I7" i="84"/>
  <c r="H10" i="84"/>
  <c r="D39" i="84"/>
  <c r="D30" i="84"/>
  <c r="F38" i="84"/>
  <c r="F39" i="84" s="1"/>
  <c r="F30" i="84"/>
  <c r="N16" i="84" l="1"/>
  <c r="M20" i="84"/>
  <c r="G28" i="84"/>
  <c r="H26" i="84"/>
  <c r="J7" i="84"/>
  <c r="I10" i="84"/>
  <c r="I26" i="84" s="1"/>
  <c r="H11" i="84"/>
  <c r="O16" i="84" l="1"/>
  <c r="O20" i="84" s="1"/>
  <c r="N20" i="84"/>
  <c r="H34" i="84"/>
  <c r="H35" i="84" s="1"/>
  <c r="H27" i="84"/>
  <c r="J10" i="84"/>
  <c r="K7" i="84"/>
  <c r="I11" i="84"/>
  <c r="H12" i="84"/>
  <c r="G30" i="84"/>
  <c r="I34" i="84" l="1"/>
  <c r="I35" i="84" s="1"/>
  <c r="I12" i="84"/>
  <c r="J26" i="84"/>
  <c r="K10" i="84"/>
  <c r="K26" i="84" s="1"/>
  <c r="L7" i="84"/>
  <c r="I27" i="84"/>
  <c r="I28" i="84" s="1"/>
  <c r="H28" i="84"/>
  <c r="J11" i="84"/>
  <c r="J27" i="84" s="1"/>
  <c r="I38" i="84"/>
  <c r="I39" i="84" s="1"/>
  <c r="H38" i="84"/>
  <c r="K11" i="84" l="1"/>
  <c r="I30" i="84"/>
  <c r="K34" i="84"/>
  <c r="K35" i="84" s="1"/>
  <c r="H39" i="84"/>
  <c r="H30" i="84"/>
  <c r="J28" i="84"/>
  <c r="M7" i="84"/>
  <c r="L10" i="84"/>
  <c r="J34" i="84"/>
  <c r="J35" i="84" s="1"/>
  <c r="K27" i="84"/>
  <c r="K28" i="84" s="1"/>
  <c r="K12" i="84"/>
  <c r="J12" i="84"/>
  <c r="K38" i="84" l="1"/>
  <c r="K39" i="84" s="1"/>
  <c r="K30" i="84"/>
  <c r="J30" i="84"/>
  <c r="L26" i="84"/>
  <c r="N7" i="84"/>
  <c r="M10" i="84"/>
  <c r="M26" i="84" s="1"/>
  <c r="J38" i="84"/>
  <c r="L11" i="84"/>
  <c r="L12" i="84" s="1"/>
  <c r="N10" i="84" l="1"/>
  <c r="N26" i="84" s="1"/>
  <c r="O7" i="84"/>
  <c r="L34" i="84"/>
  <c r="L35" i="84" s="1"/>
  <c r="L27" i="84"/>
  <c r="L28" i="84" s="1"/>
  <c r="J39" i="84"/>
  <c r="M11" i="84"/>
  <c r="M12" i="84" s="1"/>
  <c r="L38" i="84" l="1"/>
  <c r="L30" i="84"/>
  <c r="O10" i="84"/>
  <c r="O26" i="84" s="1"/>
  <c r="P7" i="84"/>
  <c r="I33" i="7" s="1"/>
  <c r="I34" i="7" s="1"/>
  <c r="M34" i="84"/>
  <c r="M35" i="84" s="1"/>
  <c r="M38" i="84" s="1"/>
  <c r="M39" i="84" s="1"/>
  <c r="M27" i="84"/>
  <c r="M28" i="84" s="1"/>
  <c r="M30" i="84" s="1"/>
  <c r="N11" i="84"/>
  <c r="N12" i="84" s="1"/>
  <c r="L39" i="84" l="1"/>
  <c r="P26" i="84"/>
  <c r="P10" i="84"/>
  <c r="N34" i="84"/>
  <c r="N35" i="84" s="1"/>
  <c r="N38" i="84" s="1"/>
  <c r="N27" i="84"/>
  <c r="N28" i="84" s="1"/>
  <c r="N30" i="84" s="1"/>
  <c r="O11" i="84"/>
  <c r="N39" i="84" l="1"/>
  <c r="O34" i="84"/>
  <c r="O35" i="84" s="1"/>
  <c r="O38" i="84" s="1"/>
  <c r="P11" i="84"/>
  <c r="O27" i="84"/>
  <c r="O12" i="84"/>
  <c r="P12" i="84" s="1"/>
  <c r="O39" i="84" l="1"/>
  <c r="P39" i="84" s="1"/>
  <c r="P45" i="84" s="1"/>
  <c r="P47" i="84" s="1"/>
  <c r="F15" i="3" s="1"/>
  <c r="P38" i="84"/>
  <c r="P27" i="84"/>
  <c r="O28" i="84"/>
  <c r="O30" i="84" l="1"/>
  <c r="P28" i="84"/>
  <c r="H33" i="7" s="1"/>
  <c r="P30" i="84" l="1"/>
  <c r="H34" i="7" l="1"/>
  <c r="G34" i="7" s="1"/>
  <c r="G33" i="7"/>
  <c r="F14" i="3" l="1"/>
  <c r="F17" i="3" s="1"/>
  <c r="F21" i="3" s="1"/>
  <c r="F23" i="3" l="1"/>
  <c r="E21" i="3"/>
  <c r="D10" i="85" s="1"/>
  <c r="D14" i="85" l="1"/>
  <c r="E10" i="85"/>
  <c r="E12" i="85" l="1"/>
  <c r="E14" i="85"/>
  <c r="E16" i="85" s="1"/>
</calcChain>
</file>

<file path=xl/comments1.xml><?xml version="1.0" encoding="utf-8"?>
<comments xmlns="http://schemas.openxmlformats.org/spreadsheetml/2006/main">
  <authors>
    <author>Flekser, Clifford</author>
    <author>Puget Sound Energy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Moody's forecast as of Feb 11, 2020.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Average Jan 1/1/2020 - 2/18/20 CP Spread over libor 
Source: Treasury 
CP Activity file</t>
        </r>
      </text>
    </comment>
  </commentList>
</comments>
</file>

<file path=xl/sharedStrings.xml><?xml version="1.0" encoding="utf-8"?>
<sst xmlns="http://schemas.openxmlformats.org/spreadsheetml/2006/main" count="230" uniqueCount="161">
  <si>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</si>
  <si>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</si>
  <si>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</si>
  <si>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</si>
  <si>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</si>
  <si>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</si>
  <si>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</si>
  <si>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</si>
  <si>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</si>
  <si>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</si>
  <si>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</si>
  <si>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</si>
  <si>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</si>
  <si>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</si>
  <si>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</si>
  <si>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</si>
  <si>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</si>
  <si>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</si>
  <si>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</si>
  <si>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</si>
  <si>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</si>
  <si>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</si>
  <si>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</si>
  <si>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</si>
  <si>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</si>
  <si>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</si>
  <si>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</si>
  <si>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</si>
  <si>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</si>
  <si>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</si>
  <si>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</si>
  <si>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</si>
  <si>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</si>
  <si>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</si>
  <si>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</si>
  <si>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</si>
  <si>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</si>
  <si>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</si>
  <si>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</si>
  <si>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</si>
  <si>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</si>
  <si>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</si>
  <si>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</si>
  <si>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</si>
  <si>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</si>
  <si>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</si>
  <si>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</si>
  <si>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</si>
  <si>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</si>
  <si>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</si>
  <si>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</si>
  <si>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</si>
  <si>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</si>
  <si>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</si>
  <si>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</si>
  <si>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</si>
  <si>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</si>
  <si>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</si>
  <si>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</si>
  <si>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</si>
  <si>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</si>
  <si>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</si>
  <si>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</si>
  <si>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</si>
  <si>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</si>
  <si>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</si>
  <si>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</si>
  <si>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</si>
  <si>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</si>
  <si>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</si>
  <si>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</si>
  <si>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</si>
  <si>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</si>
  <si>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</si>
  <si>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</si>
  <si>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</si>
  <si>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</si>
  <si>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</si>
  <si>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</si>
  <si>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</si>
  <si>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</si>
  <si>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</si>
  <si>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</si>
  <si>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</si>
  <si>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</si>
  <si>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</si>
  <si>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</si>
  <si>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</si>
  <si>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</si>
  <si>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</si>
  <si>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</si>
  <si>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</si>
  <si>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</si>
  <si>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</si>
  <si>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</si>
  <si>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</si>
  <si>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</si>
  <si>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</si>
  <si>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</si>
  <si>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</si>
  <si>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</si>
  <si>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</si>
  <si>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</si>
  <si>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</si>
  <si>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</si>
  <si>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</si>
  <si>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</si>
  <si>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</si>
  <si>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</si>
  <si>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</si>
  <si>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</si>
  <si>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</si>
  <si>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</si>
  <si>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</si>
  <si>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</si>
  <si>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</si>
  <si>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</si>
  <si>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</si>
  <si>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</si>
  <si>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</si>
  <si>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</si>
  <si>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</si>
  <si>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</si>
  <si>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</si>
  <si>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</si>
  <si>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</si>
  <si>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</si>
  <si>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</si>
  <si>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</si>
  <si>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</si>
  <si>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</si>
  <si>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</si>
  <si>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</si>
  <si>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</si>
  <si>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Requested For Rate Year April 2020 through March 2021</t>
  </si>
  <si>
    <t>For The 12 Months Ended March 31, 2021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</si>
  <si>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</si>
  <si>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</si>
  <si>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</si>
  <si>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</si>
  <si>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</si>
  <si>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</si>
  <si>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</si>
  <si>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</si>
  <si>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</si>
  <si>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t>(iii)</t>
  </si>
  <si>
    <t>PUGET SOUND ENERGY, INC.</t>
  </si>
  <si>
    <t>2019 GENERAL RATE CASE</t>
  </si>
  <si>
    <t>Line</t>
  </si>
  <si>
    <t>No.</t>
  </si>
  <si>
    <t>DESCRIPTION</t>
  </si>
  <si>
    <t>SHORT AND LONG TERM DEBT</t>
  </si>
  <si>
    <t>EQUITY</t>
  </si>
  <si>
    <t>TOTAL</t>
  </si>
  <si>
    <t>AFTER TAX SHORT TERM DEBT ( (LINE 1)* 79%)</t>
  </si>
  <si>
    <t>TOTAL AFTER TAX COST OF CAPITAL</t>
  </si>
  <si>
    <r>
      <t xml:space="preserve">Total LC Fees </t>
    </r>
    <r>
      <rPr>
        <sz val="8"/>
        <color theme="1"/>
        <rFont val="Times New Roman"/>
        <family val="1"/>
      </rPr>
      <t>($ not in 000's)</t>
    </r>
  </si>
  <si>
    <r>
      <t xml:space="preserve">(i) </t>
    </r>
    <r>
      <rPr>
        <sz val="8"/>
        <color theme="1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</si>
  <si>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r>
      <t xml:space="preserve">(i) </t>
    </r>
    <r>
      <rPr>
        <sz val="8"/>
        <color theme="1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</si>
  <si>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color theme="1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</si>
  <si>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8"/>
        <color theme="1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</si>
</sst>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$&quot;#,##0\ ;\(&quot;$&quot;#,##0\)"/>
    <numFmt numFmtId="175" formatCode="#,###.00,;\(#,###.00,\)"/>
    <numFmt numFmtId="176" formatCode="&quot;$&quot;#,000,;\(&quot;$&quot;#,000,\)"/>
    <numFmt numFmtId="177" formatCode="[$-409]d\-mmm\-yy;@"/>
    <numFmt numFmtId="178" formatCode="&quot;$&quot;#,##0.000_);\(&quot;$&quot;#,##0.000\)"/>
    <numFmt numFmtId="179" formatCode="0.0_);[Red]\(0.0\)"/>
    <numFmt numFmtId="180" formatCode="0.0000%"/>
    <numFmt numFmtId="181" formatCode="0.000000%"/>
    <numFmt numFmtId="182" formatCode="m/d/yy;@"/>
    <numFmt numFmtId="183" formatCode="_(* #,##0.000_);_(* \(#,##0.000\);_(* &quot;-&quot;??_);_(@_)"/>
  </numFmts>
  <fonts count="55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u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u val="double"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37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172" fontId="6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37" fontId="6" fillId="0" borderId="0"/>
    <xf numFmtId="37" fontId="5" fillId="0" borderId="0"/>
    <xf numFmtId="0" fontId="2" fillId="0" borderId="0"/>
    <xf numFmtId="37" fontId="2" fillId="0" borderId="0"/>
    <xf numFmtId="37" fontId="2" fillId="0" borderId="0"/>
    <xf numFmtId="3" fontId="5" fillId="0" borderId="0"/>
    <xf numFmtId="10" fontId="2" fillId="0" borderId="0"/>
    <xf numFmtId="0" fontId="2" fillId="0" borderId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8">
    <xf numFmtId="37" fontId="0" fillId="0" borderId="0" xfId="0"/>
    <xf numFmtId="10" fontId="25" fillId="0" borderId="0" xfId="91" applyNumberFormat="1" applyFont="1" applyFill="1" applyAlignment="1" applyProtection="1"/>
    <xf numFmtId="0" fontId="28" fillId="0" borderId="0" xfId="92" applyFont="1" applyFill="1"/>
    <xf numFmtId="0" fontId="29" fillId="0" borderId="0" xfId="92" applyFont="1" applyFill="1"/>
    <xf numFmtId="170" fontId="30" fillId="0" borderId="0" xfId="92" applyNumberFormat="1" applyFont="1" applyFill="1" applyAlignment="1">
      <alignment horizontal="left"/>
    </xf>
    <xf numFmtId="0" fontId="31" fillId="0" borderId="0" xfId="92" quotePrefix="1" applyFont="1" applyFill="1" applyAlignment="1" applyProtection="1">
      <alignment horizontal="center"/>
    </xf>
    <xf numFmtId="1" fontId="28" fillId="0" borderId="0" xfId="92" applyNumberFormat="1" applyFont="1" applyFill="1" applyAlignment="1" applyProtection="1">
      <alignment horizontal="center"/>
    </xf>
    <xf numFmtId="37" fontId="32" fillId="0" borderId="0" xfId="88" applyFont="1" applyFill="1" applyAlignment="1" applyProtection="1">
      <alignment horizontal="center"/>
    </xf>
    <xf numFmtId="37" fontId="32" fillId="0" borderId="0" xfId="88" quotePrefix="1" applyFont="1" applyFill="1" applyAlignment="1" applyProtection="1">
      <alignment horizontal="center"/>
    </xf>
    <xf numFmtId="0" fontId="30" fillId="0" borderId="0" xfId="92" applyFont="1" applyFill="1" applyAlignment="1" applyProtection="1">
      <alignment horizontal="center"/>
    </xf>
    <xf numFmtId="0" fontId="32" fillId="0" borderId="0" xfId="92" applyFont="1" applyFill="1" applyAlignment="1" applyProtection="1">
      <alignment horizontal="center"/>
    </xf>
    <xf numFmtId="0" fontId="32" fillId="0" borderId="0" xfId="92" applyFont="1" applyFill="1" applyAlignment="1">
      <alignment horizontal="center"/>
    </xf>
    <xf numFmtId="0" fontId="32" fillId="0" borderId="0" xfId="92" applyFont="1" applyFill="1" applyBorder="1" applyAlignment="1" applyProtection="1">
      <alignment horizontal="center" wrapText="1"/>
    </xf>
    <xf numFmtId="0" fontId="32" fillId="0" borderId="10" xfId="92" applyFont="1" applyFill="1" applyBorder="1" applyAlignment="1" applyProtection="1">
      <alignment horizontal="left"/>
    </xf>
    <xf numFmtId="0" fontId="32" fillId="0" borderId="10" xfId="92" applyFont="1" applyFill="1" applyBorder="1" applyAlignment="1" applyProtection="1">
      <alignment horizontal="center" wrapText="1"/>
    </xf>
    <xf numFmtId="0" fontId="32" fillId="0" borderId="10" xfId="92" applyFont="1" applyFill="1" applyBorder="1" applyAlignment="1" applyProtection="1">
      <alignment horizontal="center"/>
    </xf>
    <xf numFmtId="166" fontId="28" fillId="0" borderId="0" xfId="92" applyNumberFormat="1" applyFont="1" applyFill="1" applyAlignment="1">
      <alignment horizontal="left"/>
    </xf>
    <xf numFmtId="15" fontId="28" fillId="0" borderId="0" xfId="92" applyNumberFormat="1" applyFont="1" applyFill="1" applyAlignment="1">
      <alignment horizontal="center"/>
    </xf>
    <xf numFmtId="15" fontId="28" fillId="0" borderId="0" xfId="92" applyNumberFormat="1" applyFont="1" applyFill="1" applyAlignment="1">
      <alignment horizontal="right"/>
    </xf>
    <xf numFmtId="7" fontId="28" fillId="0" borderId="0" xfId="92" applyNumberFormat="1" applyFont="1" applyFill="1"/>
    <xf numFmtId="5" fontId="28" fillId="0" borderId="0" xfId="92" applyNumberFormat="1" applyFont="1" applyFill="1"/>
    <xf numFmtId="0" fontId="28" fillId="0" borderId="0" xfId="92" applyNumberFormat="1" applyFont="1" applyFill="1" applyAlignment="1">
      <alignment horizontal="center"/>
    </xf>
    <xf numFmtId="5" fontId="29" fillId="0" borderId="0" xfId="92" applyNumberFormat="1" applyFont="1" applyFill="1"/>
    <xf numFmtId="166" fontId="28" fillId="0" borderId="0" xfId="92" applyNumberFormat="1" applyFont="1" applyFill="1" applyAlignment="1" applyProtection="1">
      <alignment horizontal="left"/>
    </xf>
    <xf numFmtId="15" fontId="28" fillId="0" borderId="0" xfId="92" applyNumberFormat="1" applyFont="1" applyFill="1" applyAlignment="1" applyProtection="1">
      <alignment horizontal="center"/>
    </xf>
    <xf numFmtId="179" fontId="28" fillId="0" borderId="0" xfId="92" applyNumberFormat="1" applyFont="1" applyFill="1"/>
    <xf numFmtId="5" fontId="33" fillId="0" borderId="0" xfId="92" applyNumberFormat="1" applyFont="1" applyFill="1"/>
    <xf numFmtId="0" fontId="30" fillId="0" borderId="0" xfId="92" quotePrefix="1" applyFont="1" applyFill="1" applyBorder="1" applyAlignment="1" applyProtection="1">
      <alignment horizontal="left"/>
    </xf>
    <xf numFmtId="15" fontId="30" fillId="0" borderId="0" xfId="92" applyNumberFormat="1" applyFont="1" applyFill="1" applyBorder="1" applyAlignment="1">
      <alignment horizontal="left"/>
    </xf>
    <xf numFmtId="5" fontId="30" fillId="0" borderId="12" xfId="92" applyNumberFormat="1" applyFont="1" applyFill="1" applyBorder="1" applyAlignment="1" applyProtection="1">
      <alignment horizontal="right"/>
    </xf>
    <xf numFmtId="5" fontId="30" fillId="0" borderId="0" xfId="92" applyNumberFormat="1" applyFont="1" applyFill="1" applyBorder="1" applyAlignment="1" applyProtection="1">
      <alignment horizontal="right"/>
    </xf>
    <xf numFmtId="5" fontId="30" fillId="0" borderId="0" xfId="91" applyNumberFormat="1" applyFont="1" applyFill="1" applyBorder="1" applyAlignment="1" applyProtection="1"/>
    <xf numFmtId="37" fontId="28" fillId="0" borderId="0" xfId="0" applyFont="1" applyFill="1" applyBorder="1"/>
    <xf numFmtId="5" fontId="28" fillId="0" borderId="0" xfId="92" applyNumberFormat="1" applyFont="1" applyFill="1" applyProtection="1"/>
    <xf numFmtId="10" fontId="28" fillId="0" borderId="0" xfId="97" applyNumberFormat="1" applyFont="1" applyFill="1"/>
    <xf numFmtId="0" fontId="30" fillId="0" borderId="0" xfId="92" applyFont="1" applyFill="1" applyAlignment="1" applyProtection="1">
      <alignment horizontal="left"/>
    </xf>
    <xf numFmtId="5" fontId="29" fillId="0" borderId="0" xfId="92" applyNumberFormat="1" applyFont="1" applyFill="1" applyProtection="1"/>
    <xf numFmtId="0" fontId="29" fillId="0" borderId="0" xfId="92" applyFont="1" applyFill="1" applyAlignment="1">
      <alignment horizontal="center"/>
    </xf>
    <xf numFmtId="0" fontId="34" fillId="0" borderId="0" xfId="92" applyFont="1" applyFill="1"/>
    <xf numFmtId="37" fontId="28" fillId="0" borderId="0" xfId="86" applyFont="1" applyFill="1"/>
    <xf numFmtId="37" fontId="35" fillId="0" borderId="0" xfId="86" applyFont="1" applyFill="1"/>
    <xf numFmtId="37" fontId="27" fillId="0" borderId="0" xfId="86" applyFont="1" applyFill="1"/>
    <xf numFmtId="37" fontId="35" fillId="0" borderId="0" xfId="88" applyFont="1" applyFill="1" applyAlignment="1" applyProtection="1">
      <alignment horizontal="center"/>
    </xf>
    <xf numFmtId="17" fontId="36" fillId="0" borderId="0" xfId="86" applyNumberFormat="1" applyFont="1" applyFill="1" applyBorder="1" applyAlignment="1">
      <alignment horizontal="center"/>
    </xf>
    <xf numFmtId="37" fontId="36" fillId="0" borderId="0" xfId="86" applyFont="1" applyFill="1" applyBorder="1" applyAlignment="1">
      <alignment horizontal="center" wrapText="1"/>
    </xf>
    <xf numFmtId="37" fontId="32" fillId="0" borderId="0" xfId="86" applyFont="1" applyFill="1" applyBorder="1"/>
    <xf numFmtId="5" fontId="35" fillId="0" borderId="0" xfId="87" applyNumberFormat="1" applyFont="1" applyFill="1" applyBorder="1" applyProtection="1"/>
    <xf numFmtId="5" fontId="32" fillId="0" borderId="0" xfId="87" applyNumberFormat="1" applyFont="1" applyFill="1" applyBorder="1" applyProtection="1"/>
    <xf numFmtId="37" fontId="35" fillId="0" borderId="0" xfId="86" applyFont="1" applyFill="1" applyBorder="1"/>
    <xf numFmtId="168" fontId="35" fillId="0" borderId="0" xfId="56" applyNumberFormat="1" applyFont="1" applyFill="1" applyBorder="1" applyProtection="1"/>
    <xf numFmtId="37" fontId="35" fillId="0" borderId="0" xfId="87" applyNumberFormat="1" applyFont="1" applyFill="1" applyBorder="1" applyProtection="1"/>
    <xf numFmtId="37" fontId="35" fillId="0" borderId="0" xfId="86" applyFont="1" applyFill="1" applyBorder="1" applyAlignment="1">
      <alignment horizontal="left" indent="1"/>
    </xf>
    <xf numFmtId="5" fontId="35" fillId="0" borderId="13" xfId="87" applyNumberFormat="1" applyFont="1" applyFill="1" applyBorder="1" applyProtection="1"/>
    <xf numFmtId="5" fontId="32" fillId="0" borderId="13" xfId="87" applyNumberFormat="1" applyFont="1" applyFill="1" applyBorder="1" applyProtection="1"/>
    <xf numFmtId="37" fontId="28" fillId="0" borderId="0" xfId="86" applyFont="1" applyFill="1" applyBorder="1"/>
    <xf numFmtId="37" fontId="32" fillId="0" borderId="0" xfId="86" applyFont="1" applyFill="1" applyBorder="1" applyAlignment="1">
      <alignment horizontal="centerContinuous" vertical="center" wrapText="1"/>
    </xf>
    <xf numFmtId="37" fontId="30" fillId="0" borderId="0" xfId="86" applyFont="1" applyFill="1" applyBorder="1" applyAlignment="1">
      <alignment horizontal="centerContinuous" vertical="center" wrapText="1"/>
    </xf>
    <xf numFmtId="164" fontId="35" fillId="0" borderId="0" xfId="98" applyNumberFormat="1" applyFont="1" applyFill="1" applyBorder="1" applyProtection="1"/>
    <xf numFmtId="10" fontId="35" fillId="0" borderId="0" xfId="98" applyNumberFormat="1" applyFont="1" applyFill="1"/>
    <xf numFmtId="10" fontId="35" fillId="0" borderId="0" xfId="86" applyNumberFormat="1" applyFont="1" applyFill="1"/>
    <xf numFmtId="166" fontId="35" fillId="0" borderId="0" xfId="86" applyNumberFormat="1" applyFont="1" applyFill="1"/>
    <xf numFmtId="37" fontId="35" fillId="0" borderId="0" xfId="86" applyFont="1" applyFill="1" applyBorder="1" applyAlignment="1">
      <alignment horizontal="left"/>
    </xf>
    <xf numFmtId="10" fontId="35" fillId="0" borderId="11" xfId="87" applyNumberFormat="1" applyFont="1" applyFill="1" applyBorder="1" applyProtection="1"/>
    <xf numFmtId="37" fontId="30" fillId="0" borderId="0" xfId="86" applyFont="1" applyFill="1" applyBorder="1" applyAlignment="1">
      <alignment horizontal="center"/>
    </xf>
    <xf numFmtId="37" fontId="37" fillId="0" borderId="0" xfId="86" applyFont="1" applyFill="1" applyBorder="1" applyAlignment="1">
      <alignment horizontal="center" wrapText="1"/>
    </xf>
    <xf numFmtId="37" fontId="32" fillId="0" borderId="0" xfId="86" applyFont="1" applyFill="1" applyBorder="1" applyAlignment="1">
      <alignment horizontal="left" indent="1"/>
    </xf>
    <xf numFmtId="37" fontId="35" fillId="0" borderId="12" xfId="86" applyFont="1" applyFill="1" applyBorder="1"/>
    <xf numFmtId="5" fontId="32" fillId="0" borderId="12" xfId="87" applyNumberFormat="1" applyFont="1" applyFill="1" applyBorder="1" applyProtection="1"/>
    <xf numFmtId="7" fontId="35" fillId="0" borderId="0" xfId="87" applyNumberFormat="1" applyFont="1" applyFill="1" applyBorder="1" applyProtection="1"/>
    <xf numFmtId="37" fontId="35" fillId="0" borderId="0" xfId="86" applyFont="1" applyFill="1" applyBorder="1" applyAlignment="1">
      <alignment horizontal="left" indent="2"/>
    </xf>
    <xf numFmtId="5" fontId="35" fillId="0" borderId="11" xfId="87" applyNumberFormat="1" applyFont="1" applyFill="1" applyBorder="1" applyProtection="1"/>
    <xf numFmtId="37" fontId="36" fillId="0" borderId="0" xfId="86" applyFont="1" applyFill="1" applyBorder="1" applyAlignment="1">
      <alignment horizontal="center"/>
    </xf>
    <xf numFmtId="166" fontId="35" fillId="0" borderId="0" xfId="98" applyNumberFormat="1" applyFont="1" applyFill="1" applyAlignment="1">
      <alignment horizontal="center"/>
    </xf>
    <xf numFmtId="166" fontId="35" fillId="0" borderId="0" xfId="98" applyNumberFormat="1" applyFont="1" applyFill="1"/>
    <xf numFmtId="5" fontId="35" fillId="0" borderId="12" xfId="87" applyNumberFormat="1" applyFont="1" applyFill="1" applyBorder="1" applyProtection="1"/>
    <xf numFmtId="177" fontId="35" fillId="0" borderId="0" xfId="86" applyNumberFormat="1" applyFont="1" applyFill="1" applyBorder="1" applyAlignment="1">
      <alignment horizontal="left"/>
    </xf>
    <xf numFmtId="10" fontId="35" fillId="0" borderId="0" xfId="86" applyNumberFormat="1" applyFont="1" applyFill="1" applyBorder="1"/>
    <xf numFmtId="166" fontId="38" fillId="0" borderId="0" xfId="98" applyNumberFormat="1" applyFont="1" applyFill="1" applyAlignment="1">
      <alignment horizontal="center"/>
    </xf>
    <xf numFmtId="10" fontId="38" fillId="0" borderId="0" xfId="98" applyNumberFormat="1" applyFont="1" applyFill="1" applyAlignment="1">
      <alignment horizontal="center"/>
    </xf>
    <xf numFmtId="178" fontId="35" fillId="0" borderId="0" xfId="87" applyNumberFormat="1" applyFont="1" applyFill="1" applyBorder="1" applyProtection="1"/>
    <xf numFmtId="37" fontId="28" fillId="0" borderId="0" xfId="86" applyFont="1" applyFill="1" applyAlignment="1">
      <alignment horizontal="right"/>
    </xf>
    <xf numFmtId="10" fontId="32" fillId="0" borderId="0" xfId="98" applyNumberFormat="1" applyFont="1" applyFill="1" applyBorder="1" applyProtection="1"/>
    <xf numFmtId="5" fontId="35" fillId="0" borderId="12" xfId="86" applyNumberFormat="1" applyFont="1" applyFill="1" applyBorder="1"/>
    <xf numFmtId="5" fontId="35" fillId="0" borderId="0" xfId="86" applyNumberFormat="1" applyFont="1" applyFill="1" applyBorder="1"/>
    <xf numFmtId="5" fontId="39" fillId="0" borderId="0" xfId="87" applyNumberFormat="1" applyFont="1" applyFill="1" applyBorder="1" applyAlignment="1" applyProtection="1">
      <alignment horizontal="left"/>
    </xf>
    <xf numFmtId="169" fontId="28" fillId="0" borderId="0" xfId="86" applyNumberFormat="1" applyFont="1" applyFill="1"/>
    <xf numFmtId="0" fontId="27" fillId="0" borderId="0" xfId="92" quotePrefix="1" applyFont="1" applyFill="1" applyBorder="1" applyAlignment="1" applyProtection="1">
      <alignment horizontal="centerContinuous" vertical="center" wrapText="1"/>
    </xf>
    <xf numFmtId="37" fontId="40" fillId="0" borderId="0" xfId="89" applyFont="1" applyFill="1"/>
    <xf numFmtId="165" fontId="40" fillId="0" borderId="0" xfId="89" applyNumberFormat="1" applyFont="1" applyFill="1"/>
    <xf numFmtId="3" fontId="35" fillId="0" borderId="0" xfId="90" applyFont="1" applyFill="1" applyAlignment="1">
      <alignment horizontal="center"/>
    </xf>
    <xf numFmtId="37" fontId="41" fillId="0" borderId="0" xfId="88" applyFont="1" applyFill="1" applyAlignment="1" applyProtection="1">
      <alignment horizontal="center"/>
    </xf>
    <xf numFmtId="3" fontId="40" fillId="0" borderId="0" xfId="90" applyFont="1" applyFill="1" applyAlignment="1">
      <alignment horizontal="center"/>
    </xf>
    <xf numFmtId="166" fontId="32" fillId="0" borderId="0" xfId="90" applyNumberFormat="1" applyFont="1" applyFill="1" applyAlignment="1" applyProtection="1">
      <alignment horizontal="center"/>
    </xf>
    <xf numFmtId="3" fontId="32" fillId="0" borderId="0" xfId="90" applyFont="1" applyFill="1" applyAlignment="1">
      <alignment horizontal="center"/>
    </xf>
    <xf numFmtId="37" fontId="42" fillId="0" borderId="0" xfId="89" applyFont="1" applyFill="1" applyAlignment="1">
      <alignment horizontal="center"/>
    </xf>
    <xf numFmtId="3" fontId="32" fillId="0" borderId="10" xfId="90" applyFont="1" applyFill="1" applyBorder="1" applyAlignment="1" applyProtection="1">
      <alignment horizontal="center"/>
    </xf>
    <xf numFmtId="3" fontId="32" fillId="0" borderId="10" xfId="90" quotePrefix="1" applyFont="1" applyFill="1" applyBorder="1" applyAlignment="1" applyProtection="1">
      <alignment horizontal="center"/>
    </xf>
    <xf numFmtId="37" fontId="35" fillId="0" borderId="0" xfId="0" applyNumberFormat="1" applyFont="1" applyFill="1" applyAlignment="1">
      <alignment horizontal="left"/>
    </xf>
    <xf numFmtId="166" fontId="35" fillId="0" borderId="0" xfId="0" applyNumberFormat="1" applyFont="1" applyFill="1" applyAlignment="1">
      <alignment horizontal="center"/>
    </xf>
    <xf numFmtId="17" fontId="35" fillId="0" borderId="0" xfId="0" applyNumberFormat="1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right"/>
    </xf>
    <xf numFmtId="171" fontId="35" fillId="0" borderId="0" xfId="87" applyNumberFormat="1" applyFont="1" applyFill="1" applyProtection="1"/>
    <xf numFmtId="171" fontId="43" fillId="0" borderId="0" xfId="87" applyNumberFormat="1" applyFont="1" applyFill="1" applyProtection="1"/>
    <xf numFmtId="168" fontId="40" fillId="0" borderId="0" xfId="55" applyNumberFormat="1" applyFont="1" applyFill="1"/>
    <xf numFmtId="37" fontId="35" fillId="0" borderId="0" xfId="89" applyNumberFormat="1" applyFont="1" applyFill="1" applyAlignment="1" applyProtection="1">
      <alignment horizontal="left"/>
    </xf>
    <xf numFmtId="17" fontId="35" fillId="0" borderId="0" xfId="89" applyNumberFormat="1" applyFont="1" applyFill="1" applyAlignment="1" applyProtection="1">
      <alignment horizontal="center"/>
    </xf>
    <xf numFmtId="171" fontId="35" fillId="0" borderId="0" xfId="87" applyNumberFormat="1" applyFont="1" applyFill="1" applyBorder="1" applyProtection="1"/>
    <xf numFmtId="37" fontId="32" fillId="0" borderId="0" xfId="0" applyNumberFormat="1" applyFont="1" applyFill="1"/>
    <xf numFmtId="166" fontId="35" fillId="0" borderId="0" xfId="0" applyNumberFormat="1" applyFont="1" applyFill="1"/>
    <xf numFmtId="39" fontId="35" fillId="0" borderId="0" xfId="0" applyNumberFormat="1" applyFont="1" applyFill="1" applyAlignment="1">
      <alignment horizontal="right"/>
    </xf>
    <xf numFmtId="171" fontId="32" fillId="0" borderId="0" xfId="87" applyNumberFormat="1" applyFont="1" applyFill="1" applyBorder="1" applyProtection="1"/>
    <xf numFmtId="37" fontId="35" fillId="0" borderId="0" xfId="0" applyNumberFormat="1" applyFont="1" applyFill="1"/>
    <xf numFmtId="10" fontId="35" fillId="0" borderId="0" xfId="0" applyNumberFormat="1" applyFont="1" applyFill="1"/>
    <xf numFmtId="17" fontId="35" fillId="0" borderId="0" xfId="89" applyNumberFormat="1" applyFont="1" applyFill="1" applyAlignment="1" applyProtection="1">
      <alignment horizontal="left"/>
    </xf>
    <xf numFmtId="37" fontId="32" fillId="0" borderId="0" xfId="89" applyNumberFormat="1" applyFont="1" applyFill="1" applyAlignment="1" applyProtection="1">
      <alignment horizontal="left"/>
    </xf>
    <xf numFmtId="10" fontId="32" fillId="0" borderId="0" xfId="97" applyNumberFormat="1" applyFont="1" applyFill="1"/>
    <xf numFmtId="171" fontId="32" fillId="0" borderId="12" xfId="87" applyNumberFormat="1" applyFont="1" applyFill="1" applyBorder="1" applyProtection="1"/>
    <xf numFmtId="169" fontId="35" fillId="0" borderId="0" xfId="0" applyNumberFormat="1" applyFont="1" applyFill="1"/>
    <xf numFmtId="3" fontId="35" fillId="0" borderId="0" xfId="90" applyFont="1" applyFill="1"/>
    <xf numFmtId="10" fontId="35" fillId="0" borderId="0" xfId="97" applyNumberFormat="1" applyFont="1" applyFill="1"/>
    <xf numFmtId="176" fontId="35" fillId="0" borderId="0" xfId="87" applyNumberFormat="1" applyFont="1" applyFill="1" applyBorder="1" applyProtection="1"/>
    <xf numFmtId="37" fontId="32" fillId="0" borderId="0" xfId="86" applyNumberFormat="1" applyFont="1" applyFill="1" applyBorder="1"/>
    <xf numFmtId="10" fontId="32" fillId="0" borderId="12" xfId="0" applyNumberFormat="1" applyFont="1" applyFill="1" applyBorder="1"/>
    <xf numFmtId="176" fontId="32" fillId="0" borderId="12" xfId="87" applyNumberFormat="1" applyFont="1" applyFill="1" applyBorder="1" applyProtection="1"/>
    <xf numFmtId="169" fontId="35" fillId="0" borderId="0" xfId="0" applyNumberFormat="1" applyFont="1" applyFill="1" applyAlignment="1">
      <alignment horizontal="center"/>
    </xf>
    <xf numFmtId="10" fontId="32" fillId="0" borderId="0" xfId="89" applyNumberFormat="1" applyFont="1" applyFill="1" applyBorder="1" applyProtection="1"/>
    <xf numFmtId="175" fontId="35" fillId="0" borderId="0" xfId="87" applyNumberFormat="1" applyFont="1" applyFill="1" applyBorder="1" applyProtection="1"/>
    <xf numFmtId="5" fontId="40" fillId="0" borderId="0" xfId="89" applyNumberFormat="1" applyFont="1" applyFill="1"/>
    <xf numFmtId="176" fontId="32" fillId="0" borderId="0" xfId="87" applyNumberFormat="1" applyFont="1" applyFill="1" applyBorder="1" applyProtection="1"/>
    <xf numFmtId="164" fontId="36" fillId="0" borderId="0" xfId="91" applyNumberFormat="1" applyFont="1" applyFill="1" applyAlignment="1" applyProtection="1"/>
    <xf numFmtId="3" fontId="32" fillId="0" borderId="0" xfId="90" quotePrefix="1" applyFont="1" applyFill="1"/>
    <xf numFmtId="37" fontId="32" fillId="0" borderId="0" xfId="89" applyNumberFormat="1" applyFont="1" applyFill="1"/>
    <xf numFmtId="37" fontId="35" fillId="0" borderId="0" xfId="89" applyNumberFormat="1" applyFont="1" applyFill="1"/>
    <xf numFmtId="37" fontId="35" fillId="0" borderId="0" xfId="89" applyFont="1" applyFill="1"/>
    <xf numFmtId="37" fontId="27" fillId="0" borderId="0" xfId="89" applyFont="1" applyFill="1" applyAlignment="1">
      <alignment horizontal="center"/>
    </xf>
    <xf numFmtId="5" fontId="35" fillId="0" borderId="0" xfId="89" applyNumberFormat="1" applyFont="1" applyFill="1"/>
    <xf numFmtId="171" fontId="32" fillId="0" borderId="0" xfId="87" applyNumberFormat="1" applyFont="1" applyFill="1" applyProtection="1"/>
    <xf numFmtId="37" fontId="40" fillId="0" borderId="0" xfId="89" applyFont="1" applyFill="1" applyAlignment="1">
      <alignment horizontal="center"/>
    </xf>
    <xf numFmtId="37" fontId="40" fillId="0" borderId="0" xfId="0" applyFont="1" applyFill="1"/>
    <xf numFmtId="10" fontId="40" fillId="0" borderId="0" xfId="0" applyNumberFormat="1" applyFont="1" applyFill="1" applyAlignment="1">
      <alignment horizontal="left"/>
    </xf>
    <xf numFmtId="15" fontId="40" fillId="0" borderId="0" xfId="0" applyNumberFormat="1" applyFont="1" applyFill="1" applyAlignment="1">
      <alignment horizontal="center"/>
    </xf>
    <xf numFmtId="173" fontId="35" fillId="0" borderId="0" xfId="87" applyNumberFormat="1" applyFont="1" applyFill="1" applyProtection="1"/>
    <xf numFmtId="2" fontId="40" fillId="0" borderId="0" xfId="0" applyNumberFormat="1" applyFont="1" applyFill="1"/>
    <xf numFmtId="167" fontId="40" fillId="0" borderId="0" xfId="0" applyNumberFormat="1" applyFont="1" applyFill="1"/>
    <xf numFmtId="10" fontId="40" fillId="0" borderId="0" xfId="0" applyNumberFormat="1" applyFont="1" applyFill="1"/>
    <xf numFmtId="37" fontId="27" fillId="0" borderId="0" xfId="89" applyFont="1" applyFill="1" applyAlignment="1" applyProtection="1">
      <alignment horizontal="center"/>
    </xf>
    <xf numFmtId="10" fontId="40" fillId="0" borderId="0" xfId="89" applyNumberFormat="1" applyFont="1" applyFill="1" applyProtection="1"/>
    <xf numFmtId="166" fontId="40" fillId="0" borderId="0" xfId="89" applyNumberFormat="1" applyFont="1" applyFill="1" applyAlignment="1" applyProtection="1">
      <alignment horizontal="fill"/>
    </xf>
    <xf numFmtId="37" fontId="40" fillId="0" borderId="0" xfId="89" applyFont="1" applyFill="1" applyAlignment="1" applyProtection="1">
      <alignment horizontal="center"/>
    </xf>
    <xf numFmtId="0" fontId="40" fillId="0" borderId="0" xfId="92" applyFont="1" applyFill="1" applyAlignment="1" applyProtection="1">
      <alignment horizontal="left"/>
    </xf>
    <xf numFmtId="15" fontId="40" fillId="0" borderId="0" xfId="89" applyNumberFormat="1" applyFont="1" applyFill="1" applyProtection="1"/>
    <xf numFmtId="10" fontId="40" fillId="0" borderId="0" xfId="91" applyFont="1" applyFill="1"/>
    <xf numFmtId="10" fontId="27" fillId="0" borderId="0" xfId="91" applyFont="1" applyFill="1" applyAlignment="1">
      <alignment horizontal="centerContinuous"/>
    </xf>
    <xf numFmtId="10" fontId="40" fillId="0" borderId="0" xfId="91" applyFont="1" applyFill="1" applyAlignment="1">
      <alignment horizontal="centerContinuous"/>
    </xf>
    <xf numFmtId="37" fontId="40" fillId="0" borderId="0" xfId="91" applyNumberFormat="1" applyFont="1" applyFill="1"/>
    <xf numFmtId="1" fontId="40" fillId="0" borderId="0" xfId="91" applyNumberFormat="1" applyFont="1" applyFill="1" applyAlignment="1" applyProtection="1">
      <alignment horizontal="center"/>
    </xf>
    <xf numFmtId="1" fontId="35" fillId="0" borderId="0" xfId="91" applyNumberFormat="1" applyFont="1" applyFill="1" applyAlignment="1" applyProtection="1">
      <alignment horizontal="center"/>
    </xf>
    <xf numFmtId="10" fontId="27" fillId="0" borderId="0" xfId="91" applyFont="1" applyFill="1" applyBorder="1" applyAlignment="1" applyProtection="1">
      <alignment horizontal="center" wrapText="1"/>
    </xf>
    <xf numFmtId="10" fontId="27" fillId="0" borderId="0" xfId="91" applyFont="1" applyFill="1" applyAlignment="1">
      <alignment horizontal="center"/>
    </xf>
    <xf numFmtId="10" fontId="27" fillId="0" borderId="0" xfId="91" applyFont="1" applyFill="1" applyAlignment="1" applyProtection="1">
      <alignment horizontal="center"/>
    </xf>
    <xf numFmtId="10" fontId="42" fillId="0" borderId="0" xfId="91" applyFont="1" applyFill="1" applyAlignment="1" applyProtection="1">
      <alignment horizontal="left"/>
    </xf>
    <xf numFmtId="10" fontId="42" fillId="0" borderId="0" xfId="91" applyFont="1" applyFill="1" applyAlignment="1" applyProtection="1">
      <alignment horizontal="center"/>
    </xf>
    <xf numFmtId="10" fontId="40" fillId="0" borderId="0" xfId="91" applyFont="1" applyFill="1" applyAlignment="1" applyProtection="1">
      <alignment horizontal="left"/>
    </xf>
    <xf numFmtId="10" fontId="40" fillId="0" borderId="0" xfId="91" applyNumberFormat="1" applyFont="1" applyFill="1" applyAlignment="1" applyProtection="1"/>
    <xf numFmtId="10" fontId="40" fillId="0" borderId="0" xfId="91" applyFont="1" applyFill="1" applyAlignment="1" applyProtection="1">
      <alignment horizontal="left" indent="2"/>
    </xf>
    <xf numFmtId="164" fontId="40" fillId="0" borderId="0" xfId="91" applyNumberFormat="1" applyFont="1" applyFill="1" applyAlignment="1" applyProtection="1"/>
    <xf numFmtId="10" fontId="40" fillId="0" borderId="0" xfId="91" applyFont="1" applyFill="1" applyAlignment="1">
      <alignment horizontal="left" indent="2"/>
    </xf>
    <xf numFmtId="10" fontId="40" fillId="0" borderId="10" xfId="91" applyFont="1" applyFill="1" applyBorder="1" applyAlignment="1">
      <alignment horizontal="left" indent="2"/>
    </xf>
    <xf numFmtId="37" fontId="32" fillId="0" borderId="10" xfId="88" applyFont="1" applyFill="1" applyBorder="1" applyAlignment="1" applyProtection="1">
      <alignment horizontal="center"/>
    </xf>
    <xf numFmtId="164" fontId="40" fillId="0" borderId="10" xfId="91" applyNumberFormat="1" applyFont="1" applyFill="1" applyBorder="1" applyAlignment="1" applyProtection="1"/>
    <xf numFmtId="10" fontId="40" fillId="0" borderId="10" xfId="91" applyNumberFormat="1" applyFont="1" applyFill="1" applyBorder="1" applyAlignment="1" applyProtection="1"/>
    <xf numFmtId="10" fontId="27" fillId="0" borderId="0" xfId="91" applyFont="1" applyFill="1" applyAlignment="1" applyProtection="1">
      <alignment horizontal="left" indent="1"/>
    </xf>
    <xf numFmtId="10" fontId="27" fillId="0" borderId="0" xfId="91" applyNumberFormat="1" applyFont="1" applyFill="1" applyAlignment="1" applyProtection="1"/>
    <xf numFmtId="5" fontId="40" fillId="0" borderId="0" xfId="91" applyNumberFormat="1" applyFont="1" applyFill="1" applyAlignment="1" applyProtection="1"/>
    <xf numFmtId="10" fontId="27" fillId="0" borderId="11" xfId="91" applyFont="1" applyFill="1" applyBorder="1" applyAlignment="1" applyProtection="1">
      <alignment horizontal="left" indent="1"/>
    </xf>
    <xf numFmtId="37" fontId="32" fillId="0" borderId="11" xfId="88" applyFont="1" applyFill="1" applyBorder="1" applyAlignment="1" applyProtection="1">
      <alignment horizontal="center"/>
    </xf>
    <xf numFmtId="164" fontId="40" fillId="0" borderId="11" xfId="91" applyNumberFormat="1" applyFont="1" applyFill="1" applyBorder="1" applyAlignment="1" applyProtection="1"/>
    <xf numFmtId="10" fontId="40" fillId="0" borderId="11" xfId="91" applyNumberFormat="1" applyFont="1" applyFill="1" applyBorder="1" applyAlignment="1" applyProtection="1"/>
    <xf numFmtId="10" fontId="27" fillId="0" borderId="11" xfId="91" applyNumberFormat="1" applyFont="1" applyFill="1" applyBorder="1" applyAlignment="1" applyProtection="1"/>
    <xf numFmtId="10" fontId="27" fillId="0" borderId="0" xfId="91" applyFont="1" applyFill="1" applyAlignment="1" applyProtection="1">
      <alignment horizontal="left"/>
    </xf>
    <xf numFmtId="164" fontId="27" fillId="0" borderId="0" xfId="91" applyNumberFormat="1" applyFont="1" applyFill="1" applyAlignment="1" applyProtection="1"/>
    <xf numFmtId="164" fontId="42" fillId="0" borderId="0" xfId="91" applyNumberFormat="1" applyFont="1" applyFill="1" applyAlignment="1" applyProtection="1"/>
    <xf numFmtId="10" fontId="27" fillId="0" borderId="0" xfId="91" applyNumberFormat="1" applyFont="1" applyFill="1" applyBorder="1" applyAlignment="1" applyProtection="1">
      <alignment horizontal="right"/>
    </xf>
    <xf numFmtId="10" fontId="42" fillId="0" borderId="0" xfId="91" applyNumberFormat="1" applyFont="1" applyFill="1" applyAlignment="1" applyProtection="1"/>
    <xf numFmtId="5" fontId="44" fillId="0" borderId="0" xfId="91" applyNumberFormat="1" applyFont="1" applyFill="1" applyBorder="1" applyAlignment="1" applyProtection="1"/>
    <xf numFmtId="164" fontId="44" fillId="0" borderId="0" xfId="91" applyNumberFormat="1" applyFont="1" applyFill="1" applyBorder="1" applyAlignment="1" applyProtection="1">
      <alignment horizontal="right"/>
    </xf>
    <xf numFmtId="10" fontId="44" fillId="0" borderId="0" xfId="91" applyNumberFormat="1" applyFont="1" applyFill="1" applyBorder="1" applyAlignment="1" applyProtection="1">
      <alignment horizontal="right"/>
    </xf>
    <xf numFmtId="10" fontId="40" fillId="0" borderId="0" xfId="91" applyNumberFormat="1" applyFont="1" applyFill="1" applyProtection="1"/>
    <xf numFmtId="0" fontId="45" fillId="0" borderId="0" xfId="87" applyFont="1" applyFill="1" applyBorder="1" applyAlignment="1" applyProtection="1">
      <alignment horizontal="centerContinuous" vertical="center" wrapText="1"/>
    </xf>
    <xf numFmtId="10" fontId="46" fillId="0" borderId="0" xfId="91" applyFont="1" applyFill="1" applyAlignment="1">
      <alignment horizontal="centerContinuous"/>
    </xf>
    <xf numFmtId="10" fontId="45" fillId="0" borderId="0" xfId="91" applyFont="1" applyFill="1" applyBorder="1" applyAlignment="1" applyProtection="1">
      <alignment horizontal="centerContinuous" vertical="center" wrapText="1"/>
    </xf>
    <xf numFmtId="180" fontId="40" fillId="0" borderId="0" xfId="91" applyNumberFormat="1" applyFont="1" applyFill="1"/>
    <xf numFmtId="170" fontId="27" fillId="0" borderId="0" xfId="91" applyNumberFormat="1" applyFont="1" applyFill="1" applyBorder="1" applyAlignment="1" applyProtection="1">
      <alignment horizontal="centerContinuous" vertical="center" wrapText="1"/>
    </xf>
    <xf numFmtId="10" fontId="40" fillId="0" borderId="0" xfId="91" applyFont="1" applyFill="1" applyBorder="1" applyAlignment="1">
      <alignment horizontal="centerContinuous" vertical="center" wrapText="1"/>
    </xf>
    <xf numFmtId="1" fontId="27" fillId="0" borderId="0" xfId="91" applyNumberFormat="1" applyFont="1" applyFill="1" applyAlignment="1" applyProtection="1">
      <alignment horizontal="center"/>
    </xf>
    <xf numFmtId="10" fontId="25" fillId="0" borderId="0" xfId="91" applyFont="1" applyFill="1"/>
    <xf numFmtId="1" fontId="27" fillId="0" borderId="10" xfId="91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>
      <alignment horizontal="center"/>
    </xf>
    <xf numFmtId="37" fontId="47" fillId="0" borderId="10" xfId="88" applyFont="1" applyFill="1" applyBorder="1" applyAlignment="1" applyProtection="1">
      <alignment horizontal="center"/>
    </xf>
    <xf numFmtId="37" fontId="47" fillId="0" borderId="0" xfId="88" applyFont="1" applyFill="1" applyAlignment="1" applyProtection="1">
      <alignment horizontal="center"/>
    </xf>
    <xf numFmtId="0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/>
    <xf numFmtId="10" fontId="25" fillId="0" borderId="0" xfId="91" applyFont="1" applyFill="1" applyAlignment="1">
      <alignment horizontal="center"/>
    </xf>
    <xf numFmtId="10" fontId="25" fillId="0" borderId="0" xfId="97" applyNumberFormat="1" applyFont="1" applyFill="1" applyAlignment="1">
      <alignment horizontal="center"/>
    </xf>
    <xf numFmtId="10" fontId="25" fillId="0" borderId="0" xfId="106" applyNumberFormat="1" applyFont="1" applyFill="1" applyAlignment="1">
      <alignment horizontal="center"/>
    </xf>
    <xf numFmtId="10" fontId="46" fillId="0" borderId="0" xfId="91" applyFont="1" applyFill="1" applyAlignment="1">
      <alignment horizontal="center"/>
    </xf>
    <xf numFmtId="10" fontId="25" fillId="0" borderId="10" xfId="91" applyFont="1" applyFill="1" applyBorder="1" applyAlignment="1" applyProtection="1">
      <alignment horizontal="center"/>
    </xf>
    <xf numFmtId="10" fontId="48" fillId="0" borderId="10" xfId="91" applyFont="1" applyFill="1" applyBorder="1" applyAlignment="1">
      <alignment horizontal="center"/>
    </xf>
    <xf numFmtId="10" fontId="46" fillId="0" borderId="0" xfId="91" applyFont="1" applyFill="1" applyAlignment="1" applyProtection="1">
      <alignment horizontal="center"/>
    </xf>
    <xf numFmtId="10" fontId="49" fillId="0" borderId="0" xfId="91" applyFont="1" applyFill="1" applyAlignment="1" applyProtection="1">
      <alignment horizontal="center"/>
    </xf>
    <xf numFmtId="10" fontId="50" fillId="0" borderId="0" xfId="91" applyFont="1" applyFill="1" applyAlignment="1" applyProtection="1">
      <alignment horizontal="center"/>
    </xf>
    <xf numFmtId="10" fontId="25" fillId="0" borderId="0" xfId="91" applyFont="1" applyFill="1" applyAlignment="1" applyProtection="1">
      <alignment horizontal="left"/>
    </xf>
    <xf numFmtId="10" fontId="25" fillId="0" borderId="0" xfId="107" applyNumberFormat="1" applyFont="1" applyFill="1" applyAlignment="1" applyProtection="1">
      <alignment horizontal="center"/>
    </xf>
    <xf numFmtId="10" fontId="25" fillId="0" borderId="10" xfId="107" applyNumberFormat="1" applyFont="1" applyFill="1" applyBorder="1" applyAlignment="1" applyProtection="1">
      <alignment horizontal="center"/>
    </xf>
    <xf numFmtId="10" fontId="48" fillId="0" borderId="10" xfId="107" applyNumberFormat="1" applyFont="1" applyFill="1" applyBorder="1" applyAlignment="1" applyProtection="1">
      <alignment horizontal="center"/>
    </xf>
    <xf numFmtId="10" fontId="46" fillId="0" borderId="0" xfId="91" applyFont="1" applyFill="1"/>
    <xf numFmtId="5" fontId="25" fillId="0" borderId="0" xfId="91" applyNumberFormat="1" applyFont="1" applyFill="1" applyAlignment="1"/>
    <xf numFmtId="10" fontId="25" fillId="0" borderId="0" xfId="91" applyFont="1" applyFill="1" applyBorder="1" applyAlignment="1" applyProtection="1"/>
    <xf numFmtId="10" fontId="25" fillId="0" borderId="0" xfId="91" applyNumberFormat="1" applyFont="1" applyFill="1" applyAlignment="1"/>
    <xf numFmtId="10" fontId="51" fillId="0" borderId="0" xfId="91" applyFont="1" applyFill="1" applyBorder="1"/>
    <xf numFmtId="10" fontId="40" fillId="0" borderId="0" xfId="91" applyFont="1" applyFill="1" applyBorder="1"/>
    <xf numFmtId="37" fontId="40" fillId="0" borderId="0" xfId="91" applyNumberFormat="1" applyFont="1" applyFill="1" applyBorder="1"/>
    <xf numFmtId="181" fontId="51" fillId="0" borderId="0" xfId="91" applyNumberFormat="1" applyFont="1" applyFill="1" applyBorder="1"/>
    <xf numFmtId="37" fontId="26" fillId="0" borderId="0" xfId="0" applyFont="1" applyFill="1"/>
    <xf numFmtId="1" fontId="26" fillId="0" borderId="0" xfId="91" applyNumberFormat="1" applyFont="1" applyFill="1" applyAlignment="1" applyProtection="1">
      <alignment horizontal="center"/>
    </xf>
    <xf numFmtId="10" fontId="25" fillId="0" borderId="0" xfId="91" applyFont="1" applyFill="1" applyAlignment="1" applyProtection="1"/>
    <xf numFmtId="166" fontId="40" fillId="0" borderId="0" xfId="106" applyNumberFormat="1" applyFont="1" applyFill="1"/>
    <xf numFmtId="10" fontId="46" fillId="0" borderId="0" xfId="91" applyFont="1" applyFill="1" applyAlignment="1" applyProtection="1">
      <alignment horizontal="left"/>
    </xf>
    <xf numFmtId="5" fontId="52" fillId="0" borderId="0" xfId="91" applyNumberFormat="1" applyFont="1" applyFill="1" applyBorder="1" applyAlignment="1" applyProtection="1"/>
    <xf numFmtId="10" fontId="52" fillId="0" borderId="0" xfId="91" applyNumberFormat="1" applyFont="1" applyFill="1" applyAlignment="1" applyProtection="1"/>
    <xf numFmtId="10" fontId="25" fillId="0" borderId="0" xfId="91" applyNumberFormat="1" applyFont="1" applyFill="1" applyBorder="1" applyAlignment="1" applyProtection="1"/>
    <xf numFmtId="182" fontId="25" fillId="0" borderId="0" xfId="91" applyNumberFormat="1" applyFont="1" applyFill="1" applyBorder="1" applyAlignment="1">
      <alignment horizontal="center"/>
    </xf>
    <xf numFmtId="37" fontId="25" fillId="0" borderId="0" xfId="91" applyNumberFormat="1" applyFont="1" applyFill="1" applyBorder="1" applyAlignment="1">
      <alignment horizontal="center"/>
    </xf>
    <xf numFmtId="164" fontId="25" fillId="0" borderId="0" xfId="91" applyNumberFormat="1" applyFont="1" applyFill="1" applyBorder="1" applyAlignment="1" applyProtection="1"/>
    <xf numFmtId="5" fontId="53" fillId="0" borderId="0" xfId="91" applyNumberFormat="1" applyFont="1" applyFill="1" applyBorder="1" applyAlignment="1" applyProtection="1"/>
    <xf numFmtId="10" fontId="53" fillId="0" borderId="0" xfId="91" applyNumberFormat="1" applyFont="1" applyFill="1" applyBorder="1" applyAlignment="1" applyProtection="1"/>
    <xf numFmtId="183" fontId="25" fillId="0" borderId="0" xfId="107" applyNumberFormat="1" applyFont="1" applyFill="1" applyBorder="1" applyAlignment="1"/>
    <xf numFmtId="10" fontId="25" fillId="0" borderId="0" xfId="91" applyFont="1" applyFill="1" applyBorder="1"/>
    <xf numFmtId="10" fontId="53" fillId="0" borderId="0" xfId="91" applyFont="1" applyFill="1" applyBorder="1" applyAlignment="1"/>
    <xf numFmtId="10" fontId="54" fillId="0" borderId="0" xfId="91" applyFont="1" applyFill="1" applyAlignment="1" applyProtection="1">
      <alignment horizontal="left"/>
    </xf>
    <xf numFmtId="38" fontId="25" fillId="0" borderId="0" xfId="91" applyNumberFormat="1" applyFont="1" applyFill="1"/>
    <xf numFmtId="1" fontId="40" fillId="0" borderId="0" xfId="91" applyNumberFormat="1" applyFont="1" applyFill="1" applyProtection="1"/>
    <xf numFmtId="5" fontId="25" fillId="0" borderId="0" xfId="91" applyNumberFormat="1" applyFont="1" applyFill="1" applyAlignment="1" applyProtection="1"/>
    <xf numFmtId="5" fontId="25" fillId="0" borderId="0" xfId="91" applyNumberFormat="1" applyFont="1" applyFill="1"/>
    <xf numFmtId="5" fontId="40" fillId="0" borderId="0" xfId="91" applyNumberFormat="1" applyFont="1" applyFill="1" applyProtection="1"/>
    <xf numFmtId="164" fontId="40" fillId="0" borderId="0" xfId="91" applyNumberFormat="1" applyFont="1" applyFill="1" applyProtection="1"/>
    <xf numFmtId="170" fontId="39" fillId="0" borderId="0" xfId="91" applyNumberFormat="1" applyFont="1" applyFill="1" applyAlignment="1" applyProtection="1">
      <alignment horizontal="center"/>
    </xf>
    <xf numFmtId="10" fontId="39" fillId="0" borderId="0" xfId="91" applyFont="1" applyFill="1" applyAlignment="1" applyProtection="1">
      <alignment horizontal="center"/>
    </xf>
    <xf numFmtId="0" fontId="39" fillId="0" borderId="0" xfId="87" applyFont="1" applyFill="1" applyBorder="1" applyAlignment="1" applyProtection="1">
      <alignment horizontal="center" vertical="center" wrapText="1"/>
    </xf>
    <xf numFmtId="10" fontId="27" fillId="0" borderId="14" xfId="91" applyFont="1" applyFill="1" applyBorder="1" applyAlignment="1" applyProtection="1">
      <alignment horizontal="center" wrapText="1"/>
    </xf>
    <xf numFmtId="10" fontId="27" fillId="0" borderId="11" xfId="91" applyFont="1" applyFill="1" applyBorder="1" applyAlignment="1" applyProtection="1">
      <alignment horizontal="center" wrapText="1"/>
    </xf>
    <xf numFmtId="10" fontId="27" fillId="0" borderId="15" xfId="91" applyFont="1" applyFill="1" applyBorder="1" applyAlignment="1" applyProtection="1">
      <alignment horizontal="center" wrapText="1"/>
    </xf>
    <xf numFmtId="170" fontId="27" fillId="0" borderId="0" xfId="91" applyNumberFormat="1" applyFont="1" applyFill="1" applyBorder="1" applyAlignment="1" applyProtection="1">
      <alignment horizontal="center" vertical="center" wrapText="1"/>
    </xf>
    <xf numFmtId="3" fontId="32" fillId="0" borderId="0" xfId="90" applyFont="1" applyFill="1" applyAlignment="1">
      <alignment horizontal="left" wrapText="1"/>
    </xf>
    <xf numFmtId="0" fontId="27" fillId="0" borderId="0" xfId="92" quotePrefix="1" applyFont="1" applyFill="1" applyBorder="1" applyAlignment="1" applyProtection="1">
      <alignment horizontal="center" vertical="center" wrapText="1"/>
    </xf>
    <xf numFmtId="37" fontId="32" fillId="0" borderId="0" xfId="89" applyNumberFormat="1" applyFont="1" applyFill="1" applyBorder="1" applyAlignment="1" applyProtection="1">
      <alignment horizontal="center" wrapText="1"/>
    </xf>
    <xf numFmtId="37" fontId="32" fillId="0" borderId="10" xfId="89" applyNumberFormat="1" applyFont="1" applyFill="1" applyBorder="1" applyAlignment="1" applyProtection="1">
      <alignment horizontal="center" wrapText="1"/>
    </xf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7"/>
    <cellStyle name="Comma 3" xfId="57"/>
    <cellStyle name="Comma0" xfId="58"/>
    <cellStyle name="Currency 2" xfId="59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2 2" xfId="106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Keith\COC%20DEC%2000%20Comp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Cost%20of%20Capital\Cost%20of%20Capital\COC%20Mar%2099\CocJun98\COC%20DEC%2097\AFUDC%20Dec%20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B39" sqref="B39"/>
    </sheetView>
  </sheetViews>
  <sheetFormatPr defaultColWidth="11.42578125" defaultRowHeight="13.2"/>
  <cols>
    <col min="1" max="1" width="5.7109375" style="152" bestFit="1" customWidth="1"/>
    <col min="2" max="2" width="55" style="152" bestFit="1" customWidth="1"/>
    <col min="3" max="3" width="14.85546875" style="152" customWidth="1"/>
    <col min="4" max="4" width="13.42578125" style="152" customWidth="1"/>
    <col min="5" max="5" width="13.140625" style="152" customWidth="1"/>
    <col min="6" max="6" width="13.42578125" style="152" customWidth="1"/>
    <col min="7" max="7" width="11.42578125" style="152" customWidth="1"/>
    <col min="8" max="8" width="13.85546875" style="152" customWidth="1"/>
    <col min="9" max="9" width="11.140625" style="152" customWidth="1"/>
    <col min="10" max="10" width="8.42578125" style="152" customWidth="1"/>
    <col min="11" max="11" width="9" style="152" customWidth="1"/>
    <col min="12" max="12" width="8.7109375" style="152" customWidth="1"/>
    <col min="13" max="16384" width="11.42578125" style="152"/>
  </cols>
  <sheetData>
    <row r="1" spans="1:12" ht="15.6">
      <c r="B1" s="189" t="s">
        <v>146</v>
      </c>
      <c r="C1" s="189"/>
      <c r="D1" s="189"/>
      <c r="E1" s="189"/>
      <c r="F1" s="189"/>
    </row>
    <row r="2" spans="1:12" ht="15.6">
      <c r="A2" s="190"/>
      <c r="B2" s="191" t="s">
        <v>147</v>
      </c>
      <c r="C2" s="154"/>
      <c r="D2" s="154"/>
      <c r="E2" s="154"/>
      <c r="F2" s="154"/>
    </row>
    <row r="3" spans="1:12" ht="15.6">
      <c r="B3" s="191" t="s">
        <v>2</v>
      </c>
      <c r="C3" s="191"/>
      <c r="D3" s="191"/>
      <c r="E3" s="191"/>
      <c r="F3" s="191"/>
    </row>
    <row r="4" spans="1:12" ht="15.6">
      <c r="B4" s="247" t="s">
        <v>119</v>
      </c>
      <c r="C4" s="247"/>
      <c r="D4" s="247"/>
      <c r="E4" s="247"/>
      <c r="F4" s="247"/>
      <c r="H4" s="155"/>
      <c r="L4" s="192"/>
    </row>
    <row r="5" spans="1:12">
      <c r="A5" s="193"/>
      <c r="B5" s="194"/>
      <c r="C5" s="193"/>
      <c r="D5" s="193"/>
      <c r="E5" s="193"/>
      <c r="F5" s="193"/>
      <c r="H5" s="155"/>
      <c r="L5" s="192"/>
    </row>
    <row r="6" spans="1:12">
      <c r="A6" s="156"/>
      <c r="C6" s="139"/>
      <c r="H6" s="155"/>
      <c r="L6" s="192"/>
    </row>
    <row r="7" spans="1:12">
      <c r="A7" s="195" t="s">
        <v>148</v>
      </c>
      <c r="B7" s="196"/>
      <c r="C7" s="196"/>
      <c r="D7" s="196"/>
      <c r="E7" s="196"/>
      <c r="F7" s="196"/>
      <c r="H7" s="155"/>
      <c r="L7" s="192"/>
    </row>
    <row r="8" spans="1:12">
      <c r="A8" s="197" t="s">
        <v>149</v>
      </c>
      <c r="B8" s="198" t="s">
        <v>150</v>
      </c>
      <c r="C8" s="199"/>
      <c r="D8" s="199"/>
      <c r="E8" s="199"/>
      <c r="F8" s="200"/>
      <c r="H8" s="155"/>
      <c r="L8" s="192"/>
    </row>
    <row r="9" spans="1:12">
      <c r="A9" s="201"/>
      <c r="B9" s="196"/>
      <c r="C9" s="196"/>
      <c r="D9" s="196"/>
      <c r="E9" s="196"/>
      <c r="F9" s="196"/>
      <c r="H9" s="155"/>
      <c r="L9" s="192"/>
    </row>
    <row r="10" spans="1:12">
      <c r="A10" s="201">
        <f t="shared" ref="A10:A16" si="0">A9+1</f>
        <v>1</v>
      </c>
      <c r="B10" s="202" t="s">
        <v>151</v>
      </c>
      <c r="C10" s="203">
        <f>+'Pg 1 CofCap'!D21</f>
        <v>0.51500000000000001</v>
      </c>
      <c r="D10" s="204">
        <f>+'Pg 1 CofCap'!E21</f>
        <v>5.4951456310679617E-2</v>
      </c>
      <c r="E10" s="205">
        <f>ROUND(C10*D10,4)</f>
        <v>2.8299999999999999E-2</v>
      </c>
      <c r="F10" s="206"/>
      <c r="H10" s="155"/>
      <c r="L10" s="192"/>
    </row>
    <row r="11" spans="1:12">
      <c r="A11" s="201">
        <f t="shared" si="0"/>
        <v>2</v>
      </c>
      <c r="B11" s="202" t="s">
        <v>152</v>
      </c>
      <c r="C11" s="207">
        <f>+'Pg 1 CofCap'!D22</f>
        <v>0.48499999999999999</v>
      </c>
      <c r="D11" s="208">
        <f>+'Pg 1 CofCap'!E22</f>
        <v>9.5000000000000001E-2</v>
      </c>
      <c r="E11" s="208">
        <f t="shared" ref="E11" si="1">ROUND(C11*D11,4)</f>
        <v>4.6100000000000002E-2</v>
      </c>
      <c r="F11" s="209"/>
      <c r="H11" s="155"/>
      <c r="L11" s="192"/>
    </row>
    <row r="12" spans="1:12">
      <c r="A12" s="201">
        <f t="shared" si="0"/>
        <v>3</v>
      </c>
      <c r="B12" s="202" t="s">
        <v>153</v>
      </c>
      <c r="C12" s="210">
        <f>SUM(C10:C11)</f>
        <v>1</v>
      </c>
      <c r="D12" s="210"/>
      <c r="E12" s="211">
        <f>SUM(E10:E11)</f>
        <v>7.4399999999999994E-2</v>
      </c>
      <c r="F12" s="210"/>
      <c r="H12" s="155"/>
      <c r="L12" s="192"/>
    </row>
    <row r="13" spans="1:12">
      <c r="A13" s="201">
        <f t="shared" si="0"/>
        <v>4</v>
      </c>
      <c r="B13" s="212"/>
      <c r="C13" s="212"/>
      <c r="D13" s="212"/>
      <c r="E13" s="212"/>
      <c r="F13" s="212"/>
      <c r="H13" s="155"/>
      <c r="L13" s="192"/>
    </row>
    <row r="14" spans="1:12">
      <c r="A14" s="201">
        <f t="shared" si="0"/>
        <v>5</v>
      </c>
      <c r="B14" s="202" t="s">
        <v>154</v>
      </c>
      <c r="C14" s="213">
        <f>C10</f>
        <v>0.51500000000000001</v>
      </c>
      <c r="D14" s="204">
        <f>D10*0.79</f>
        <v>4.3411650485436902E-2</v>
      </c>
      <c r="E14" s="203">
        <f>ROUND(E10*0.79,4)</f>
        <v>2.24E-2</v>
      </c>
      <c r="F14" s="1"/>
      <c r="L14" s="155"/>
    </row>
    <row r="15" spans="1:12">
      <c r="A15" s="201">
        <f t="shared" si="0"/>
        <v>6</v>
      </c>
      <c r="B15" s="202" t="s">
        <v>152</v>
      </c>
      <c r="C15" s="214">
        <f>C11</f>
        <v>0.48499999999999999</v>
      </c>
      <c r="D15" s="215">
        <f>D11</f>
        <v>9.5000000000000001E-2</v>
      </c>
      <c r="E15" s="208">
        <f>ROUND(C15*D15,4)</f>
        <v>4.6100000000000002E-2</v>
      </c>
      <c r="F15" s="1"/>
      <c r="L15" s="155"/>
    </row>
    <row r="16" spans="1:12">
      <c r="A16" s="201">
        <f t="shared" si="0"/>
        <v>7</v>
      </c>
      <c r="B16" s="202" t="s">
        <v>155</v>
      </c>
      <c r="C16" s="210">
        <f>SUM(C14:C15)</f>
        <v>1</v>
      </c>
      <c r="D16" s="1"/>
      <c r="E16" s="211">
        <f>SUM(E14:E15)</f>
        <v>6.8500000000000005E-2</v>
      </c>
      <c r="F16" s="1"/>
      <c r="L16" s="155"/>
    </row>
    <row r="17" spans="1:12">
      <c r="A17" s="201"/>
      <c r="B17" s="216"/>
      <c r="C17" s="217"/>
      <c r="D17" s="1"/>
      <c r="E17" s="218"/>
      <c r="F17" s="219"/>
      <c r="H17" s="220"/>
      <c r="I17" s="221"/>
      <c r="J17" s="221"/>
      <c r="K17" s="221"/>
      <c r="L17" s="222"/>
    </row>
    <row r="18" spans="1:12">
      <c r="A18" s="201"/>
      <c r="B18" s="196"/>
      <c r="C18" s="217"/>
      <c r="D18" s="1"/>
      <c r="E18" s="218"/>
      <c r="F18" s="219"/>
      <c r="H18" s="223"/>
      <c r="I18" s="221"/>
      <c r="J18" s="221"/>
      <c r="K18" s="221"/>
      <c r="L18" s="222"/>
    </row>
    <row r="19" spans="1:12">
      <c r="A19" s="201">
        <v>1</v>
      </c>
      <c r="B19" s="202" t="s">
        <v>151</v>
      </c>
      <c r="C19" s="203">
        <v>0.51500000000000001</v>
      </c>
      <c r="D19" s="204">
        <v>5.4951456310679617E-2</v>
      </c>
      <c r="E19" s="205">
        <v>2.8299999999999999E-2</v>
      </c>
      <c r="F19" s="219"/>
      <c r="H19" s="220"/>
      <c r="I19" s="221"/>
      <c r="J19" s="221"/>
      <c r="K19" s="221"/>
      <c r="L19" s="222"/>
    </row>
    <row r="20" spans="1:12">
      <c r="A20" s="201">
        <v>2</v>
      </c>
      <c r="B20" s="202" t="s">
        <v>152</v>
      </c>
      <c r="C20" s="207">
        <v>0.48499999999999999</v>
      </c>
      <c r="D20" s="208">
        <v>9.5000000000000001E-2</v>
      </c>
      <c r="E20" s="208">
        <v>4.6100000000000002E-2</v>
      </c>
      <c r="F20" s="219"/>
      <c r="H20" s="220"/>
      <c r="I20" s="221"/>
      <c r="J20" s="221"/>
      <c r="K20" s="221"/>
      <c r="L20" s="222"/>
    </row>
    <row r="21" spans="1:12">
      <c r="A21" s="201">
        <v>3</v>
      </c>
      <c r="B21" s="202" t="s">
        <v>153</v>
      </c>
      <c r="C21" s="210">
        <v>1</v>
      </c>
      <c r="D21" s="210"/>
      <c r="E21" s="211">
        <v>7.4399999999999994E-2</v>
      </c>
      <c r="F21" s="219"/>
      <c r="H21" s="220"/>
      <c r="I21" s="221"/>
      <c r="J21" s="221"/>
      <c r="K21" s="221"/>
      <c r="L21" s="222"/>
    </row>
    <row r="22" spans="1:12">
      <c r="A22" s="201">
        <v>4</v>
      </c>
      <c r="B22" s="212"/>
      <c r="C22" s="212"/>
      <c r="D22" s="212"/>
      <c r="E22" s="212"/>
      <c r="F22" s="219"/>
      <c r="H22" s="220"/>
      <c r="I22" s="221"/>
      <c r="J22" s="221"/>
      <c r="K22" s="221"/>
      <c r="L22" s="222"/>
    </row>
    <row r="23" spans="1:12">
      <c r="A23" s="201">
        <v>5</v>
      </c>
      <c r="B23" s="202" t="s">
        <v>154</v>
      </c>
      <c r="C23" s="213">
        <v>0.51500000000000001</v>
      </c>
      <c r="D23" s="204">
        <v>4.3411650485436902E-2</v>
      </c>
      <c r="E23" s="203">
        <v>2.24E-2</v>
      </c>
      <c r="F23" s="219"/>
      <c r="H23" s="220"/>
      <c r="I23" s="221"/>
      <c r="J23" s="221"/>
      <c r="K23" s="221"/>
      <c r="L23" s="222"/>
    </row>
    <row r="24" spans="1:12">
      <c r="A24" s="201">
        <v>6</v>
      </c>
      <c r="B24" s="202" t="s">
        <v>152</v>
      </c>
      <c r="C24" s="214">
        <v>0.48499999999999999</v>
      </c>
      <c r="D24" s="215">
        <v>9.5000000000000001E-2</v>
      </c>
      <c r="E24" s="208">
        <v>4.6100000000000002E-2</v>
      </c>
      <c r="F24" s="219"/>
      <c r="H24" s="220"/>
      <c r="I24" s="221"/>
      <c r="J24" s="221"/>
      <c r="K24" s="221"/>
      <c r="L24" s="222"/>
    </row>
    <row r="25" spans="1:12">
      <c r="A25" s="201">
        <v>7</v>
      </c>
      <c r="B25" s="202" t="s">
        <v>155</v>
      </c>
      <c r="C25" s="210">
        <v>1</v>
      </c>
      <c r="D25" s="1"/>
      <c r="E25" s="211">
        <v>6.8500000000000005E-2</v>
      </c>
      <c r="F25" s="219"/>
      <c r="H25" s="224"/>
      <c r="I25" s="221"/>
      <c r="J25" s="221"/>
      <c r="K25" s="221"/>
      <c r="L25" s="222"/>
    </row>
    <row r="26" spans="1:12">
      <c r="A26" s="225"/>
      <c r="B26" s="216"/>
      <c r="C26" s="217"/>
      <c r="D26" s="1"/>
      <c r="E26" s="226"/>
      <c r="F26" s="218"/>
      <c r="G26" s="227"/>
      <c r="H26" s="224"/>
      <c r="I26" s="221"/>
      <c r="J26" s="221"/>
      <c r="K26" s="221"/>
      <c r="L26" s="222"/>
    </row>
    <row r="27" spans="1:12">
      <c r="A27" s="225"/>
      <c r="B27" s="216"/>
      <c r="C27" s="217"/>
      <c r="D27" s="1"/>
      <c r="E27" s="218"/>
      <c r="F27" s="219"/>
      <c r="H27" s="224"/>
      <c r="I27" s="221"/>
      <c r="J27" s="221"/>
      <c r="K27" s="221"/>
      <c r="L27" s="222"/>
    </row>
    <row r="28" spans="1:12">
      <c r="A28" s="225"/>
      <c r="B28" s="228"/>
      <c r="C28" s="229"/>
      <c r="D28" s="230"/>
      <c r="E28" s="231"/>
      <c r="F28" s="230"/>
      <c r="H28" s="224"/>
      <c r="I28" s="232"/>
      <c r="J28" s="233"/>
      <c r="K28" s="218"/>
      <c r="L28" s="218"/>
    </row>
    <row r="29" spans="1:12">
      <c r="A29" s="225"/>
      <c r="B29" s="216"/>
      <c r="C29" s="218"/>
      <c r="D29" s="234"/>
      <c r="E29" s="231"/>
      <c r="F29" s="218"/>
      <c r="H29" s="224"/>
      <c r="I29" s="232"/>
      <c r="J29" s="233"/>
      <c r="K29" s="218"/>
      <c r="L29" s="218"/>
    </row>
    <row r="30" spans="1:12">
      <c r="A30" s="225"/>
      <c r="B30" s="228"/>
      <c r="C30" s="235"/>
      <c r="D30" s="236"/>
      <c r="E30" s="237"/>
      <c r="F30" s="236"/>
      <c r="H30" s="224"/>
      <c r="I30" s="238"/>
      <c r="J30" s="233"/>
      <c r="K30" s="218"/>
      <c r="L30" s="231"/>
    </row>
    <row r="31" spans="1:12">
      <c r="A31" s="225"/>
      <c r="B31" s="196"/>
      <c r="C31" s="238"/>
      <c r="D31" s="238"/>
      <c r="E31" s="239"/>
      <c r="F31" s="238"/>
      <c r="H31" s="224"/>
      <c r="I31" s="196"/>
      <c r="J31" s="196"/>
    </row>
    <row r="32" spans="1:12">
      <c r="A32" s="225"/>
      <c r="B32" s="196"/>
      <c r="C32" s="196"/>
      <c r="D32" s="196"/>
      <c r="E32" s="238"/>
      <c r="F32" s="196"/>
      <c r="H32" s="224"/>
    </row>
    <row r="33" spans="1:8">
      <c r="A33" s="225"/>
      <c r="B33" s="240"/>
      <c r="C33" s="196"/>
      <c r="D33" s="196"/>
      <c r="E33" s="241"/>
      <c r="F33" s="196"/>
      <c r="H33" s="224"/>
    </row>
    <row r="34" spans="1:8">
      <c r="A34" s="242"/>
      <c r="B34" s="196"/>
      <c r="C34" s="196"/>
      <c r="D34" s="196"/>
      <c r="E34" s="196"/>
      <c r="F34" s="196"/>
    </row>
    <row r="35" spans="1:8">
      <c r="A35" s="242"/>
      <c r="B35" s="196"/>
      <c r="C35" s="243"/>
      <c r="D35" s="196"/>
      <c r="E35" s="196"/>
      <c r="F35" s="196"/>
    </row>
    <row r="36" spans="1:8">
      <c r="A36" s="242"/>
      <c r="B36" s="196"/>
      <c r="C36" s="243"/>
      <c r="D36" s="196"/>
      <c r="E36" s="196"/>
      <c r="F36" s="196"/>
    </row>
    <row r="37" spans="1:8">
      <c r="A37" s="242"/>
      <c r="B37" s="196"/>
      <c r="C37" s="243"/>
      <c r="D37" s="196"/>
      <c r="E37" s="196"/>
      <c r="F37" s="196"/>
    </row>
    <row r="38" spans="1:8">
      <c r="A38" s="242"/>
      <c r="B38" s="196"/>
      <c r="D38" s="196"/>
      <c r="E38" s="196"/>
      <c r="F38" s="196"/>
    </row>
    <row r="39" spans="1:8">
      <c r="A39" s="242"/>
      <c r="B39" s="196"/>
      <c r="C39" s="244"/>
      <c r="D39" s="196"/>
      <c r="E39" s="196"/>
      <c r="F39" s="196"/>
    </row>
    <row r="40" spans="1:8">
      <c r="A40" s="242"/>
      <c r="B40" s="196"/>
      <c r="C40" s="196"/>
      <c r="D40" s="196"/>
      <c r="E40" s="196"/>
      <c r="F40" s="196"/>
    </row>
    <row r="41" spans="1:8">
      <c r="A41" s="242"/>
      <c r="B41" s="196"/>
      <c r="C41" s="196"/>
      <c r="D41" s="196"/>
      <c r="E41" s="196"/>
      <c r="F41" s="196"/>
    </row>
    <row r="42" spans="1:8">
      <c r="B42" s="196"/>
      <c r="C42" s="196"/>
      <c r="D42" s="196"/>
      <c r="E42" s="196"/>
      <c r="F42" s="196"/>
    </row>
    <row r="43" spans="1:8">
      <c r="B43" s="196"/>
      <c r="C43" s="196"/>
      <c r="D43" s="196"/>
      <c r="E43" s="196"/>
      <c r="F43" s="196"/>
    </row>
    <row r="44" spans="1:8">
      <c r="E44" s="196"/>
    </row>
    <row r="46" spans="1:8">
      <c r="C46" s="245"/>
      <c r="D46" s="246"/>
    </row>
    <row r="47" spans="1:8">
      <c r="D47" s="246"/>
    </row>
    <row r="48" spans="1:8">
      <c r="C48" s="245"/>
      <c r="D48" s="246"/>
    </row>
    <row r="49" spans="3:4">
      <c r="C49" s="245"/>
      <c r="D49" s="246"/>
    </row>
    <row r="50" spans="3:4">
      <c r="C50" s="245"/>
      <c r="D50" s="246"/>
    </row>
    <row r="51" spans="3:4">
      <c r="C51" s="245"/>
      <c r="D51" s="246"/>
    </row>
    <row r="52" spans="3:4">
      <c r="D52" s="246"/>
    </row>
    <row r="53" spans="3:4">
      <c r="C53" s="245"/>
      <c r="D53" s="246"/>
    </row>
    <row r="54" spans="3:4">
      <c r="D54" s="188"/>
    </row>
  </sheetData>
  <mergeCells count="1">
    <mergeCell ref="B4:F4"/>
  </mergeCells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"/>
  <sheetViews>
    <sheetView zoomScaleNormal="100" workbookViewId="0">
      <selection sqref="A1:XFD1048576"/>
    </sheetView>
  </sheetViews>
  <sheetFormatPr defaultColWidth="11.42578125" defaultRowHeight="13.2"/>
  <cols>
    <col min="1" max="1" width="3.7109375" style="152" customWidth="1"/>
    <col min="2" max="2" width="52.140625" style="152" bestFit="1" customWidth="1"/>
    <col min="3" max="3" width="18.140625" style="152" customWidth="1"/>
    <col min="4" max="4" width="13.42578125" style="152" customWidth="1"/>
    <col min="5" max="5" width="13.140625" style="152" customWidth="1"/>
    <col min="6" max="6" width="13.42578125" style="152" customWidth="1"/>
    <col min="7" max="7" width="11.42578125" style="152" customWidth="1"/>
    <col min="8" max="8" width="13.7109375" style="152" customWidth="1"/>
    <col min="9" max="9" width="11.140625" style="152" customWidth="1"/>
    <col min="10" max="16384" width="11.42578125" style="152"/>
  </cols>
  <sheetData>
    <row r="1" spans="1:8" ht="15.6" customHeight="1">
      <c r="A1" s="249" t="s">
        <v>75</v>
      </c>
      <c r="B1" s="249"/>
      <c r="C1" s="249"/>
      <c r="D1" s="249"/>
      <c r="E1" s="249"/>
      <c r="F1" s="249"/>
    </row>
    <row r="2" spans="1:8">
      <c r="A2" s="153"/>
      <c r="B2" s="154"/>
      <c r="C2" s="154"/>
      <c r="D2" s="154"/>
      <c r="E2" s="154"/>
      <c r="F2" s="154"/>
    </row>
    <row r="3" spans="1:8" ht="15.6">
      <c r="A3" s="248" t="s">
        <v>2</v>
      </c>
      <c r="B3" s="248"/>
      <c r="C3" s="248"/>
      <c r="D3" s="248"/>
      <c r="E3" s="248"/>
      <c r="F3" s="248"/>
    </row>
    <row r="4" spans="1:8" ht="15.6" customHeight="1">
      <c r="A4" s="247" t="s">
        <v>119</v>
      </c>
      <c r="B4" s="247"/>
      <c r="C4" s="247"/>
      <c r="D4" s="247"/>
      <c r="E4" s="247"/>
      <c r="F4" s="247"/>
      <c r="H4" s="155"/>
    </row>
    <row r="5" spans="1:8" ht="17.399999999999999" customHeight="1">
      <c r="A5" s="253" t="s">
        <v>134</v>
      </c>
      <c r="B5" s="253"/>
      <c r="C5" s="253"/>
      <c r="D5" s="253"/>
      <c r="E5" s="253"/>
      <c r="F5" s="253"/>
      <c r="H5" s="155"/>
    </row>
    <row r="6" spans="1:8">
      <c r="A6" s="156"/>
      <c r="C6" s="139"/>
      <c r="H6" s="155"/>
    </row>
    <row r="7" spans="1:8">
      <c r="A7" s="156"/>
      <c r="H7" s="155"/>
    </row>
    <row r="8" spans="1:8">
      <c r="A8" s="157">
        <v>1</v>
      </c>
      <c r="B8" s="7" t="s">
        <v>1</v>
      </c>
      <c r="C8" s="7" t="s">
        <v>16</v>
      </c>
      <c r="D8" s="7" t="s">
        <v>26</v>
      </c>
      <c r="E8" s="7" t="s">
        <v>28</v>
      </c>
      <c r="F8" s="7" t="s">
        <v>29</v>
      </c>
      <c r="H8" s="155"/>
    </row>
    <row r="9" spans="1:8">
      <c r="A9" s="157">
        <f>A8+1</f>
        <v>2</v>
      </c>
      <c r="B9" s="250" t="s">
        <v>120</v>
      </c>
      <c r="C9" s="251"/>
      <c r="D9" s="251"/>
      <c r="E9" s="251"/>
      <c r="F9" s="252"/>
      <c r="H9" s="155"/>
    </row>
    <row r="10" spans="1:8">
      <c r="A10" s="157">
        <f>A9+1</f>
        <v>3</v>
      </c>
      <c r="B10" s="158"/>
      <c r="C10" s="158"/>
      <c r="D10" s="158"/>
      <c r="E10" s="158"/>
      <c r="F10" s="158"/>
      <c r="H10" s="155"/>
    </row>
    <row r="11" spans="1:8">
      <c r="A11" s="157">
        <f>A10+1</f>
        <v>4</v>
      </c>
      <c r="B11" s="7"/>
      <c r="C11" s="7"/>
      <c r="D11" s="159"/>
      <c r="E11" s="160" t="s">
        <v>6</v>
      </c>
      <c r="F11" s="160" t="s">
        <v>3</v>
      </c>
      <c r="H11" s="155"/>
    </row>
    <row r="12" spans="1:8">
      <c r="A12" s="157">
        <f t="shared" ref="A12:A23" si="0">A11+1</f>
        <v>5</v>
      </c>
      <c r="B12" s="161" t="s">
        <v>4</v>
      </c>
      <c r="C12" s="162"/>
      <c r="D12" s="162" t="s">
        <v>5</v>
      </c>
      <c r="E12" s="162" t="s">
        <v>113</v>
      </c>
      <c r="F12" s="162" t="s">
        <v>7</v>
      </c>
      <c r="H12" s="155"/>
    </row>
    <row r="13" spans="1:8">
      <c r="A13" s="157">
        <f t="shared" si="0"/>
        <v>6</v>
      </c>
      <c r="B13" s="163"/>
      <c r="C13" s="7"/>
      <c r="D13" s="7"/>
      <c r="E13" s="164"/>
      <c r="F13" s="7"/>
      <c r="H13" s="155"/>
    </row>
    <row r="14" spans="1:8">
      <c r="A14" s="157">
        <f t="shared" si="0"/>
        <v>7</v>
      </c>
      <c r="B14" s="165" t="s">
        <v>130</v>
      </c>
      <c r="C14" s="7"/>
      <c r="D14" s="166">
        <v>2.3199999999999998E-2</v>
      </c>
      <c r="E14" s="164">
        <f>'Pg 2 Cost of Total Debt'!G33</f>
        <v>2.47E-2</v>
      </c>
      <c r="F14" s="164">
        <f>ROUND(D14*E14,4)</f>
        <v>5.9999999999999995E-4</v>
      </c>
      <c r="H14" s="155"/>
    </row>
    <row r="15" spans="1:8">
      <c r="A15" s="157">
        <f t="shared" si="0"/>
        <v>8</v>
      </c>
      <c r="B15" s="167" t="s">
        <v>27</v>
      </c>
      <c r="C15" s="7"/>
      <c r="D15" s="166"/>
      <c r="E15" s="164"/>
      <c r="F15" s="164">
        <f>'Pg 3 STD Int &amp; Fees-Details'!P47</f>
        <v>2.0000000000000001E-4</v>
      </c>
      <c r="H15" s="155"/>
    </row>
    <row r="16" spans="1:8">
      <c r="A16" s="157">
        <f t="shared" si="0"/>
        <v>9</v>
      </c>
      <c r="B16" s="168" t="s">
        <v>108</v>
      </c>
      <c r="C16" s="169"/>
      <c r="D16" s="170"/>
      <c r="E16" s="171"/>
      <c r="F16" s="171">
        <f>'Pg 3 STD Int &amp; Fees-Details'!P59</f>
        <v>1E-4</v>
      </c>
      <c r="H16" s="155"/>
    </row>
    <row r="17" spans="1:8">
      <c r="A17" s="157">
        <f t="shared" si="0"/>
        <v>10</v>
      </c>
      <c r="B17" s="172" t="s">
        <v>129</v>
      </c>
      <c r="C17" s="7"/>
      <c r="D17" s="166"/>
      <c r="E17" s="164"/>
      <c r="F17" s="173">
        <f>SUM(F14:F16)</f>
        <v>8.9999999999999998E-4</v>
      </c>
      <c r="H17" s="155"/>
    </row>
    <row r="18" spans="1:8">
      <c r="A18" s="157">
        <f t="shared" si="0"/>
        <v>11</v>
      </c>
      <c r="B18" s="165" t="s">
        <v>131</v>
      </c>
      <c r="C18" s="174"/>
      <c r="D18" s="166">
        <f>D23-D22-D14</f>
        <v>0.49180000000000001</v>
      </c>
      <c r="E18" s="164">
        <f>'Pg 2 Cost of Total Debt'!G31</f>
        <v>5.5130439923952432E-2</v>
      </c>
      <c r="F18" s="164">
        <f>ROUND(D18*E18,4)</f>
        <v>2.7099999999999999E-2</v>
      </c>
      <c r="H18" s="155"/>
    </row>
    <row r="19" spans="1:8">
      <c r="A19" s="157">
        <f t="shared" si="0"/>
        <v>12</v>
      </c>
      <c r="B19" s="168" t="s">
        <v>109</v>
      </c>
      <c r="C19" s="169"/>
      <c r="D19" s="170"/>
      <c r="E19" s="171"/>
      <c r="F19" s="171">
        <f>'Pg 4 Reacquired Debt'!K33</f>
        <v>2.9999999999999997E-4</v>
      </c>
      <c r="H19" s="155"/>
    </row>
    <row r="20" spans="1:8">
      <c r="A20" s="157">
        <f t="shared" si="0"/>
        <v>13</v>
      </c>
      <c r="B20" s="175" t="s">
        <v>132</v>
      </c>
      <c r="C20" s="176"/>
      <c r="D20" s="177"/>
      <c r="E20" s="178"/>
      <c r="F20" s="179">
        <f>F18+F19</f>
        <v>2.7400000000000001E-2</v>
      </c>
      <c r="H20" s="155"/>
    </row>
    <row r="21" spans="1:8">
      <c r="A21" s="157">
        <f t="shared" si="0"/>
        <v>14</v>
      </c>
      <c r="B21" s="180" t="s">
        <v>110</v>
      </c>
      <c r="C21" s="7"/>
      <c r="D21" s="181">
        <f>D14+D18</f>
        <v>0.51500000000000001</v>
      </c>
      <c r="E21" s="173">
        <f>F21/D21</f>
        <v>5.4951456310679617E-2</v>
      </c>
      <c r="F21" s="173">
        <f>F17+F20</f>
        <v>2.8300000000000002E-2</v>
      </c>
      <c r="H21" s="155"/>
    </row>
    <row r="22" spans="1:8">
      <c r="A22" s="157">
        <f t="shared" si="0"/>
        <v>15</v>
      </c>
      <c r="B22" s="180" t="s">
        <v>111</v>
      </c>
      <c r="C22" s="7"/>
      <c r="D22" s="182">
        <v>0.48499999999999999</v>
      </c>
      <c r="E22" s="183">
        <v>9.5000000000000001E-2</v>
      </c>
      <c r="F22" s="184">
        <f>ROUND(D22*E22,4)</f>
        <v>4.6100000000000002E-2</v>
      </c>
      <c r="H22" s="155"/>
    </row>
    <row r="23" spans="1:8">
      <c r="A23" s="157">
        <f t="shared" si="0"/>
        <v>16</v>
      </c>
      <c r="B23" s="180" t="s">
        <v>112</v>
      </c>
      <c r="C23" s="185"/>
      <c r="D23" s="186">
        <v>1</v>
      </c>
      <c r="E23" s="164"/>
      <c r="F23" s="187">
        <f>F21+F22</f>
        <v>7.4400000000000008E-2</v>
      </c>
      <c r="H23" s="155"/>
    </row>
    <row r="24" spans="1:8">
      <c r="A24" s="157"/>
      <c r="B24" s="7"/>
      <c r="C24" s="7"/>
      <c r="D24" s="7"/>
      <c r="E24" s="7"/>
      <c r="F24" s="7"/>
      <c r="H24" s="155"/>
    </row>
    <row r="25" spans="1:8">
      <c r="A25" s="157"/>
      <c r="B25" s="7"/>
      <c r="C25" s="7"/>
      <c r="D25" s="7"/>
      <c r="E25" s="7"/>
      <c r="F25" s="7"/>
      <c r="H25" s="155"/>
    </row>
    <row r="26" spans="1:8">
      <c r="D26" s="188"/>
    </row>
  </sheetData>
  <mergeCells count="5">
    <mergeCell ref="A3:F3"/>
    <mergeCell ref="A1:F1"/>
    <mergeCell ref="B9:F9"/>
    <mergeCell ref="A5:F5"/>
    <mergeCell ref="A4:F4"/>
  </mergeCells>
  <phoneticPr fontId="6" type="noConversion"/>
  <printOptions horizontalCentered="1"/>
  <pageMargins left="0.5" right="0.5" top="1" bottom="1" header="0.5" footer="0.5"/>
  <pageSetup scale="92" orientation="portrait" r:id="rId1"/>
  <headerFooter scaleWithDoc="0" alignWithMargins="0">
    <oddFooter>&amp;R&amp;"Times New Roman,Regular"&amp;12Exh. MDM-5
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67"/>
  <sheetViews>
    <sheetView view="pageBreakPreview" topLeftCell="A7" zoomScale="110" zoomScaleNormal="110" zoomScaleSheetLayoutView="110" workbookViewId="0">
      <selection sqref="A1:XFD1048576"/>
    </sheetView>
  </sheetViews>
  <sheetFormatPr defaultColWidth="8.7109375" defaultRowHeight="13.2"/>
  <cols>
    <col min="1" max="1" width="5.7109375" style="135" bestFit="1" customWidth="1"/>
    <col min="2" max="2" width="11.140625" style="87" customWidth="1"/>
    <col min="3" max="6" width="10.42578125" style="87" customWidth="1"/>
    <col min="7" max="7" width="10.42578125" style="128" customWidth="1"/>
    <col min="8" max="8" width="17.42578125" style="87" customWidth="1"/>
    <col min="9" max="9" width="14.7109375" style="87" customWidth="1"/>
    <col min="10" max="10" width="11.140625" style="87" customWidth="1"/>
    <col min="11" max="12" width="6" style="87" customWidth="1"/>
    <col min="13" max="16384" width="8.7109375" style="87"/>
  </cols>
  <sheetData>
    <row r="1" spans="1:1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86"/>
    </row>
    <row r="2" spans="1:11" s="88" customFormat="1">
      <c r="A2" s="255" t="s">
        <v>125</v>
      </c>
      <c r="B2" s="255"/>
      <c r="C2" s="255"/>
      <c r="D2" s="255"/>
      <c r="E2" s="255"/>
      <c r="F2" s="255"/>
      <c r="G2" s="255"/>
      <c r="H2" s="255"/>
      <c r="I2" s="255"/>
      <c r="J2" s="86"/>
    </row>
    <row r="3" spans="1:11" s="88" customFormat="1">
      <c r="A3" s="255" t="s">
        <v>135</v>
      </c>
      <c r="B3" s="255"/>
      <c r="C3" s="255"/>
      <c r="D3" s="255"/>
      <c r="E3" s="255"/>
      <c r="F3" s="255"/>
      <c r="G3" s="255"/>
      <c r="H3" s="255"/>
      <c r="I3" s="255"/>
      <c r="J3" s="86"/>
    </row>
    <row r="4" spans="1:11" ht="11.1" customHeight="1">
      <c r="A4" s="87"/>
      <c r="G4" s="87"/>
    </row>
    <row r="5" spans="1:11" ht="11.1" customHeight="1">
      <c r="A5" s="89">
        <v>1</v>
      </c>
      <c r="B5" s="90" t="s">
        <v>1</v>
      </c>
      <c r="C5" s="90" t="s">
        <v>16</v>
      </c>
      <c r="D5" s="90" t="s">
        <v>26</v>
      </c>
      <c r="E5" s="90" t="s">
        <v>28</v>
      </c>
      <c r="F5" s="90" t="s">
        <v>29</v>
      </c>
      <c r="G5" s="90" t="s">
        <v>30</v>
      </c>
      <c r="H5" s="90" t="s">
        <v>31</v>
      </c>
      <c r="I5" s="90" t="s">
        <v>32</v>
      </c>
    </row>
    <row r="6" spans="1:11" ht="11.1" customHeight="1">
      <c r="A6" s="89">
        <f>A5+1</f>
        <v>2</v>
      </c>
      <c r="B6" s="90"/>
      <c r="C6" s="90"/>
      <c r="D6" s="90"/>
      <c r="E6" s="90"/>
      <c r="F6" s="256" t="s">
        <v>118</v>
      </c>
      <c r="G6" s="91"/>
      <c r="H6" s="91"/>
      <c r="I6" s="256" t="s">
        <v>128</v>
      </c>
    </row>
    <row r="7" spans="1:11" ht="11.1" customHeight="1">
      <c r="A7" s="89">
        <f t="shared" ref="A7:A25" si="0">A6+1</f>
        <v>3</v>
      </c>
      <c r="B7" s="90"/>
      <c r="C7" s="90"/>
      <c r="D7" s="90"/>
      <c r="E7" s="90"/>
      <c r="F7" s="256"/>
      <c r="G7" s="91"/>
      <c r="H7" s="91"/>
      <c r="I7" s="256"/>
    </row>
    <row r="8" spans="1:11" ht="11.1" customHeight="1">
      <c r="A8" s="89">
        <f t="shared" si="0"/>
        <v>4</v>
      </c>
      <c r="B8" s="90"/>
      <c r="C8" s="92" t="s">
        <v>19</v>
      </c>
      <c r="D8" s="92" t="s">
        <v>8</v>
      </c>
      <c r="E8" s="93" t="s">
        <v>46</v>
      </c>
      <c r="F8" s="256"/>
      <c r="G8" s="256" t="s">
        <v>42</v>
      </c>
      <c r="H8" s="256" t="s">
        <v>124</v>
      </c>
      <c r="I8" s="256"/>
      <c r="J8" s="94"/>
    </row>
    <row r="9" spans="1:11" ht="10.199999999999999" customHeight="1">
      <c r="A9" s="89">
        <f t="shared" si="0"/>
        <v>5</v>
      </c>
      <c r="B9" s="95" t="s">
        <v>117</v>
      </c>
      <c r="C9" s="96" t="s">
        <v>10</v>
      </c>
      <c r="D9" s="95" t="s">
        <v>47</v>
      </c>
      <c r="E9" s="95" t="s">
        <v>47</v>
      </c>
      <c r="F9" s="257"/>
      <c r="G9" s="257"/>
      <c r="H9" s="257" t="s">
        <v>41</v>
      </c>
      <c r="I9" s="257"/>
    </row>
    <row r="10" spans="1:11">
      <c r="A10" s="89">
        <f t="shared" si="0"/>
        <v>6</v>
      </c>
      <c r="B10" s="97" t="s">
        <v>11</v>
      </c>
      <c r="C10" s="98">
        <v>6.7400000000000002E-2</v>
      </c>
      <c r="D10" s="99">
        <v>35961</v>
      </c>
      <c r="E10" s="99">
        <v>43266</v>
      </c>
      <c r="F10" s="100">
        <v>98.98509159000001</v>
      </c>
      <c r="G10" s="101">
        <f t="shared" ref="G10:G26" si="1">ROUND(YIELD(D10,E10,C10,F10,100,2,2),4)</f>
        <v>6.83E-2</v>
      </c>
      <c r="H10" s="102"/>
      <c r="I10" s="102"/>
      <c r="J10" s="103" t="s">
        <v>136</v>
      </c>
      <c r="K10" s="104"/>
    </row>
    <row r="11" spans="1:11">
      <c r="A11" s="89">
        <f t="shared" si="0"/>
        <v>7</v>
      </c>
      <c r="B11" s="97" t="s">
        <v>13</v>
      </c>
      <c r="C11" s="98">
        <v>7.1499999999999994E-2</v>
      </c>
      <c r="D11" s="99">
        <v>35053</v>
      </c>
      <c r="E11" s="99">
        <v>46010</v>
      </c>
      <c r="F11" s="100">
        <v>99.211911999999998</v>
      </c>
      <c r="G11" s="101">
        <f>ROUND(YIELD(D11,E11,C11,F11,100,2,2),4)</f>
        <v>7.2099999999999997E-2</v>
      </c>
      <c r="H11" s="102">
        <f>I11*G11</f>
        <v>1081500</v>
      </c>
      <c r="I11" s="102">
        <v>15000000</v>
      </c>
      <c r="J11" s="102"/>
      <c r="K11" s="104"/>
    </row>
    <row r="12" spans="1:11">
      <c r="A12" s="89">
        <f t="shared" si="0"/>
        <v>8</v>
      </c>
      <c r="B12" s="97" t="s">
        <v>13</v>
      </c>
      <c r="C12" s="98">
        <v>7.1999999999999995E-2</v>
      </c>
      <c r="D12" s="99">
        <v>35054</v>
      </c>
      <c r="E12" s="99">
        <v>46013</v>
      </c>
      <c r="F12" s="100">
        <v>99.211600000000004</v>
      </c>
      <c r="G12" s="101">
        <f t="shared" si="1"/>
        <v>7.2599999999999998E-2</v>
      </c>
      <c r="H12" s="102">
        <f t="shared" ref="H12:H26" si="2">I12*G12</f>
        <v>145200</v>
      </c>
      <c r="I12" s="102">
        <v>2000000</v>
      </c>
      <c r="J12" s="102"/>
      <c r="K12" s="104"/>
    </row>
    <row r="13" spans="1:11">
      <c r="A13" s="89">
        <f t="shared" si="0"/>
        <v>9</v>
      </c>
      <c r="B13" s="97" t="s">
        <v>11</v>
      </c>
      <c r="C13" s="98">
        <v>7.0199999999999999E-2</v>
      </c>
      <c r="D13" s="99">
        <v>35786</v>
      </c>
      <c r="E13" s="99">
        <v>46722</v>
      </c>
      <c r="F13" s="100">
        <v>98.985735776666658</v>
      </c>
      <c r="G13" s="101">
        <f t="shared" si="1"/>
        <v>7.0999999999999994E-2</v>
      </c>
      <c r="H13" s="102">
        <f t="shared" si="2"/>
        <v>21299999.999999996</v>
      </c>
      <c r="I13" s="102">
        <v>300000000</v>
      </c>
      <c r="J13" s="102"/>
      <c r="K13" s="104"/>
    </row>
    <row r="14" spans="1:11">
      <c r="A14" s="89">
        <f t="shared" si="0"/>
        <v>10</v>
      </c>
      <c r="B14" s="97" t="s">
        <v>12</v>
      </c>
      <c r="C14" s="98">
        <v>7.0000000000000007E-2</v>
      </c>
      <c r="D14" s="99">
        <v>36228</v>
      </c>
      <c r="E14" s="99">
        <v>47186</v>
      </c>
      <c r="F14" s="100">
        <v>99.042870549999989</v>
      </c>
      <c r="G14" s="101">
        <f t="shared" si="1"/>
        <v>7.0800000000000002E-2</v>
      </c>
      <c r="H14" s="102">
        <f t="shared" si="2"/>
        <v>7080000</v>
      </c>
      <c r="I14" s="102">
        <v>100000000</v>
      </c>
      <c r="J14" s="102"/>
      <c r="K14" s="104"/>
    </row>
    <row r="15" spans="1:11">
      <c r="A15" s="89">
        <f t="shared" si="0"/>
        <v>11</v>
      </c>
      <c r="B15" s="105" t="s">
        <v>14</v>
      </c>
      <c r="C15" s="98">
        <v>3.9E-2</v>
      </c>
      <c r="D15" s="106">
        <v>41417</v>
      </c>
      <c r="E15" s="106">
        <v>47908</v>
      </c>
      <c r="F15" s="100">
        <v>98.939099999999996</v>
      </c>
      <c r="G15" s="101">
        <f t="shared" si="1"/>
        <v>3.9800000000000002E-2</v>
      </c>
      <c r="H15" s="102">
        <f t="shared" si="2"/>
        <v>5510708</v>
      </c>
      <c r="I15" s="102">
        <v>138460000</v>
      </c>
      <c r="J15" s="102"/>
      <c r="K15" s="104"/>
    </row>
    <row r="16" spans="1:11">
      <c r="A16" s="89">
        <f t="shared" si="0"/>
        <v>12</v>
      </c>
      <c r="B16" s="105" t="s">
        <v>14</v>
      </c>
      <c r="C16" s="98">
        <v>0.04</v>
      </c>
      <c r="D16" s="106">
        <v>41417</v>
      </c>
      <c r="E16" s="106">
        <v>47908</v>
      </c>
      <c r="F16" s="100">
        <v>98.939099999999996</v>
      </c>
      <c r="G16" s="101">
        <f t="shared" si="1"/>
        <v>4.0800000000000003E-2</v>
      </c>
      <c r="H16" s="102">
        <f t="shared" si="2"/>
        <v>954720.00000000012</v>
      </c>
      <c r="I16" s="102">
        <v>23400000</v>
      </c>
      <c r="J16" s="102"/>
      <c r="K16" s="104"/>
    </row>
    <row r="17" spans="1:11">
      <c r="A17" s="89">
        <f t="shared" si="0"/>
        <v>13</v>
      </c>
      <c r="B17" s="97" t="s">
        <v>43</v>
      </c>
      <c r="C17" s="98">
        <v>5.4829999999999997E-2</v>
      </c>
      <c r="D17" s="99">
        <v>38499</v>
      </c>
      <c r="E17" s="99">
        <v>49461</v>
      </c>
      <c r="F17" s="100">
        <v>84.886606835999999</v>
      </c>
      <c r="G17" s="101">
        <f t="shared" si="1"/>
        <v>6.6500000000000004E-2</v>
      </c>
      <c r="H17" s="107">
        <f t="shared" si="2"/>
        <v>16625000</v>
      </c>
      <c r="I17" s="102">
        <v>250000000</v>
      </c>
      <c r="J17" s="102"/>
      <c r="K17" s="104"/>
    </row>
    <row r="18" spans="1:11">
      <c r="A18" s="89">
        <f t="shared" si="0"/>
        <v>14</v>
      </c>
      <c r="B18" s="97" t="s">
        <v>43</v>
      </c>
      <c r="C18" s="98">
        <v>6.7239999999999994E-2</v>
      </c>
      <c r="D18" s="99">
        <v>38898</v>
      </c>
      <c r="E18" s="99">
        <v>49841</v>
      </c>
      <c r="F18" s="100">
        <v>107.515271756</v>
      </c>
      <c r="G18" s="101">
        <f t="shared" si="1"/>
        <v>6.1699999999999998E-2</v>
      </c>
      <c r="H18" s="107">
        <f t="shared" si="2"/>
        <v>15425000</v>
      </c>
      <c r="I18" s="102">
        <v>250000000</v>
      </c>
      <c r="J18" s="102"/>
      <c r="K18" s="104"/>
    </row>
    <row r="19" spans="1:11">
      <c r="A19" s="89">
        <f t="shared" si="0"/>
        <v>15</v>
      </c>
      <c r="B19" s="97" t="s">
        <v>43</v>
      </c>
      <c r="C19" s="98">
        <v>6.2740000000000004E-2</v>
      </c>
      <c r="D19" s="99">
        <v>38978</v>
      </c>
      <c r="E19" s="99">
        <v>50114</v>
      </c>
      <c r="F19" s="100">
        <v>98.812700000000007</v>
      </c>
      <c r="G19" s="101">
        <f t="shared" si="1"/>
        <v>6.3600000000000004E-2</v>
      </c>
      <c r="H19" s="107">
        <f t="shared" si="2"/>
        <v>19080000</v>
      </c>
      <c r="I19" s="102">
        <v>300000000</v>
      </c>
      <c r="J19" s="102"/>
      <c r="K19" s="104"/>
    </row>
    <row r="20" spans="1:11">
      <c r="A20" s="89">
        <f t="shared" si="0"/>
        <v>16</v>
      </c>
      <c r="B20" s="97" t="s">
        <v>43</v>
      </c>
      <c r="C20" s="98">
        <v>5.7570000000000003E-2</v>
      </c>
      <c r="D20" s="99">
        <v>40067</v>
      </c>
      <c r="E20" s="99">
        <v>51058</v>
      </c>
      <c r="F20" s="100">
        <v>98.983599999999996</v>
      </c>
      <c r="G20" s="101">
        <f t="shared" si="1"/>
        <v>5.8299999999999998E-2</v>
      </c>
      <c r="H20" s="107">
        <f t="shared" si="2"/>
        <v>20405000</v>
      </c>
      <c r="I20" s="102">
        <v>350000000</v>
      </c>
      <c r="J20" s="102"/>
      <c r="K20" s="104"/>
    </row>
    <row r="21" spans="1:11">
      <c r="A21" s="89">
        <f t="shared" si="0"/>
        <v>17</v>
      </c>
      <c r="B21" s="97" t="s">
        <v>43</v>
      </c>
      <c r="C21" s="98">
        <v>5.7950000000000002E-2</v>
      </c>
      <c r="D21" s="99">
        <v>40245</v>
      </c>
      <c r="E21" s="99">
        <v>51210</v>
      </c>
      <c r="F21" s="100">
        <v>98.958799999999997</v>
      </c>
      <c r="G21" s="101">
        <f t="shared" si="1"/>
        <v>5.8700000000000002E-2</v>
      </c>
      <c r="H21" s="107">
        <f t="shared" si="2"/>
        <v>19077500</v>
      </c>
      <c r="I21" s="102">
        <v>325000000</v>
      </c>
      <c r="J21" s="102"/>
      <c r="K21" s="104"/>
    </row>
    <row r="22" spans="1:11">
      <c r="A22" s="89">
        <f t="shared" si="0"/>
        <v>18</v>
      </c>
      <c r="B22" s="97" t="s">
        <v>43</v>
      </c>
      <c r="C22" s="98">
        <v>5.7639999999999997E-2</v>
      </c>
      <c r="D22" s="99">
        <v>40358</v>
      </c>
      <c r="E22" s="99">
        <v>51332</v>
      </c>
      <c r="F22" s="100">
        <v>98.965199999999996</v>
      </c>
      <c r="G22" s="101">
        <f t="shared" si="1"/>
        <v>5.8400000000000001E-2</v>
      </c>
      <c r="H22" s="107">
        <f t="shared" si="2"/>
        <v>14600000</v>
      </c>
      <c r="I22" s="102">
        <v>250000000</v>
      </c>
      <c r="J22" s="102"/>
      <c r="K22" s="104"/>
    </row>
    <row r="23" spans="1:11">
      <c r="A23" s="89">
        <f t="shared" si="0"/>
        <v>19</v>
      </c>
      <c r="B23" s="97" t="s">
        <v>43</v>
      </c>
      <c r="C23" s="98">
        <v>5.638E-2</v>
      </c>
      <c r="D23" s="99">
        <v>40627</v>
      </c>
      <c r="E23" s="99">
        <v>51606</v>
      </c>
      <c r="F23" s="100">
        <v>98.971000000000004</v>
      </c>
      <c r="G23" s="101">
        <f t="shared" si="1"/>
        <v>5.7099999999999998E-2</v>
      </c>
      <c r="H23" s="107">
        <f t="shared" si="2"/>
        <v>17130000</v>
      </c>
      <c r="I23" s="102">
        <v>300000000</v>
      </c>
      <c r="J23" s="102"/>
      <c r="K23" s="104"/>
    </row>
    <row r="24" spans="1:11">
      <c r="A24" s="89">
        <f t="shared" si="0"/>
        <v>20</v>
      </c>
      <c r="B24" s="97" t="s">
        <v>43</v>
      </c>
      <c r="C24" s="98">
        <v>4.4339999999999997E-2</v>
      </c>
      <c r="D24" s="99">
        <v>40863</v>
      </c>
      <c r="E24" s="99">
        <v>51820</v>
      </c>
      <c r="F24" s="100">
        <v>98.962999999999994</v>
      </c>
      <c r="G24" s="101">
        <f t="shared" si="1"/>
        <v>4.4999999999999998E-2</v>
      </c>
      <c r="H24" s="107">
        <f t="shared" si="2"/>
        <v>11250000</v>
      </c>
      <c r="I24" s="102">
        <v>250000000</v>
      </c>
      <c r="J24" s="102"/>
      <c r="K24" s="104"/>
    </row>
    <row r="25" spans="1:11">
      <c r="A25" s="89">
        <f t="shared" si="0"/>
        <v>21</v>
      </c>
      <c r="B25" s="97" t="s">
        <v>43</v>
      </c>
      <c r="C25" s="98">
        <v>4.7E-2</v>
      </c>
      <c r="D25" s="99">
        <v>40869</v>
      </c>
      <c r="E25" s="99">
        <v>55472</v>
      </c>
      <c r="F25" s="100">
        <v>98.863900000000001</v>
      </c>
      <c r="G25" s="101">
        <f t="shared" si="1"/>
        <v>4.7600000000000003E-2</v>
      </c>
      <c r="H25" s="107">
        <f t="shared" si="2"/>
        <v>2142000</v>
      </c>
      <c r="I25" s="102">
        <v>45000000</v>
      </c>
      <c r="J25" s="102"/>
      <c r="K25" s="104"/>
    </row>
    <row r="26" spans="1:11">
      <c r="A26" s="89">
        <f>A25+1</f>
        <v>22</v>
      </c>
      <c r="B26" s="97" t="s">
        <v>43</v>
      </c>
      <c r="C26" s="98">
        <v>4.2999999999999997E-2</v>
      </c>
      <c r="D26" s="99">
        <v>42150</v>
      </c>
      <c r="E26" s="99">
        <v>53102</v>
      </c>
      <c r="F26" s="100">
        <v>98.483341649411756</v>
      </c>
      <c r="G26" s="101">
        <f t="shared" si="1"/>
        <v>4.3900000000000002E-2</v>
      </c>
      <c r="H26" s="107">
        <f t="shared" si="2"/>
        <v>18657500</v>
      </c>
      <c r="I26" s="102">
        <v>425000000</v>
      </c>
      <c r="J26" s="102"/>
      <c r="K26" s="104"/>
    </row>
    <row r="27" spans="1:11">
      <c r="A27" s="89">
        <f>A26+1</f>
        <v>23</v>
      </c>
      <c r="B27" s="97" t="s">
        <v>43</v>
      </c>
      <c r="C27" s="98">
        <v>4.2229999999999997E-2</v>
      </c>
      <c r="D27" s="99">
        <v>43265</v>
      </c>
      <c r="E27" s="99">
        <v>54224</v>
      </c>
      <c r="F27" s="100">
        <v>98.483341649411756</v>
      </c>
      <c r="G27" s="101">
        <f>ROUND(YIELD(D27,E27,C27,F27,100,2,2),4)</f>
        <v>4.3099999999999999E-2</v>
      </c>
      <c r="H27" s="107">
        <f>I27*G27</f>
        <v>25860000</v>
      </c>
      <c r="I27" s="102">
        <v>600000000</v>
      </c>
      <c r="J27" s="103" t="s">
        <v>138</v>
      </c>
      <c r="K27" s="104"/>
    </row>
    <row r="28" spans="1:11">
      <c r="A28" s="89">
        <f t="shared" ref="A28:A39" si="3">A27+1</f>
        <v>24</v>
      </c>
      <c r="B28" s="108" t="s">
        <v>126</v>
      </c>
      <c r="C28" s="102"/>
      <c r="D28" s="109"/>
      <c r="E28" s="99"/>
      <c r="F28" s="99"/>
      <c r="G28" s="110"/>
      <c r="H28" s="111">
        <f>SUM(H11:H27)</f>
        <v>216324128</v>
      </c>
      <c r="I28" s="111">
        <f>SUM(I11:I27)</f>
        <v>3923860000</v>
      </c>
      <c r="K28" s="104"/>
    </row>
    <row r="29" spans="1:11">
      <c r="A29" s="89">
        <f t="shared" si="3"/>
        <v>25</v>
      </c>
      <c r="B29" s="108"/>
      <c r="C29" s="102"/>
      <c r="D29" s="109"/>
      <c r="E29" s="99"/>
      <c r="F29" s="99"/>
      <c r="G29" s="110"/>
      <c r="H29" s="111"/>
      <c r="I29" s="111"/>
      <c r="K29" s="104"/>
    </row>
    <row r="30" spans="1:11">
      <c r="A30" s="89">
        <f t="shared" si="3"/>
        <v>26</v>
      </c>
      <c r="B30" s="112"/>
      <c r="C30" s="102"/>
      <c r="D30" s="109"/>
      <c r="E30" s="99"/>
      <c r="F30" s="100"/>
      <c r="G30" s="113"/>
      <c r="H30" s="107"/>
      <c r="I30" s="102"/>
    </row>
    <row r="31" spans="1:11" ht="13.8" thickBot="1">
      <c r="A31" s="89">
        <f t="shared" si="3"/>
        <v>27</v>
      </c>
      <c r="B31" s="114" t="s">
        <v>127</v>
      </c>
      <c r="C31" s="115"/>
      <c r="D31" s="109"/>
      <c r="E31" s="99"/>
      <c r="F31" s="111"/>
      <c r="G31" s="116">
        <f>H31/I31</f>
        <v>5.5130439923952432E-2</v>
      </c>
      <c r="H31" s="117">
        <f>H28</f>
        <v>216324128</v>
      </c>
      <c r="I31" s="117">
        <f>I28</f>
        <v>3923860000</v>
      </c>
    </row>
    <row r="32" spans="1:11" ht="13.8" thickTop="1">
      <c r="A32" s="89">
        <f t="shared" si="3"/>
        <v>28</v>
      </c>
      <c r="B32" s="115"/>
      <c r="C32" s="115"/>
      <c r="D32" s="109"/>
      <c r="E32" s="99"/>
      <c r="F32" s="111"/>
      <c r="G32" s="118"/>
      <c r="H32" s="118"/>
      <c r="I32" s="111"/>
    </row>
    <row r="33" spans="1:39">
      <c r="A33" s="89">
        <f t="shared" si="3"/>
        <v>29</v>
      </c>
      <c r="B33" s="119" t="s">
        <v>114</v>
      </c>
      <c r="C33" s="119"/>
      <c r="D33" s="109"/>
      <c r="E33" s="99"/>
      <c r="F33" s="111"/>
      <c r="G33" s="120">
        <f>IFERROR(ROUND(H33/I33,4),0)</f>
        <v>2.47E-2</v>
      </c>
      <c r="H33" s="107">
        <f>'Pg 3 STD Int &amp; Fees-Details'!P28</f>
        <v>4569190.7865196448</v>
      </c>
      <c r="I33" s="121">
        <f>'Pg 3 STD Int &amp; Fees-Details'!P7*1000</f>
        <v>185102790</v>
      </c>
    </row>
    <row r="34" spans="1:39" ht="13.8" thickBot="1">
      <c r="A34" s="89">
        <f t="shared" si="3"/>
        <v>30</v>
      </c>
      <c r="B34" s="122" t="s">
        <v>115</v>
      </c>
      <c r="C34" s="122"/>
      <c r="D34" s="109"/>
      <c r="E34" s="99"/>
      <c r="F34" s="93" t="s">
        <v>145</v>
      </c>
      <c r="G34" s="123">
        <f>ROUND(H34/I34,4)</f>
        <v>5.3800000000000001E-2</v>
      </c>
      <c r="H34" s="117">
        <f>H31+H33</f>
        <v>220893318.78651965</v>
      </c>
      <c r="I34" s="124">
        <f>I31+I33</f>
        <v>4108962790</v>
      </c>
    </row>
    <row r="35" spans="1:39" ht="13.8" thickTop="1">
      <c r="A35" s="89">
        <f t="shared" si="3"/>
        <v>31</v>
      </c>
      <c r="B35" s="122"/>
      <c r="C35" s="122"/>
      <c r="D35" s="109"/>
      <c r="E35" s="99"/>
      <c r="F35" s="99"/>
      <c r="G35" s="111"/>
      <c r="H35" s="125"/>
      <c r="I35" s="126"/>
      <c r="J35" s="127"/>
    </row>
    <row r="36" spans="1:39">
      <c r="A36" s="89">
        <f t="shared" si="3"/>
        <v>32</v>
      </c>
      <c r="B36" s="122" t="s">
        <v>122</v>
      </c>
      <c r="C36" s="122"/>
      <c r="D36" s="109"/>
      <c r="E36" s="99"/>
      <c r="F36" s="99"/>
      <c r="H36" s="129">
        <f>I31</f>
        <v>3923860000</v>
      </c>
      <c r="I36" s="126"/>
      <c r="J36" s="127"/>
    </row>
    <row r="37" spans="1:39">
      <c r="A37" s="89">
        <f t="shared" si="3"/>
        <v>33</v>
      </c>
      <c r="B37" s="122" t="s">
        <v>121</v>
      </c>
      <c r="C37" s="122"/>
      <c r="D37" s="109"/>
      <c r="E37" s="99"/>
      <c r="F37" s="99"/>
      <c r="H37" s="130">
        <f>'Pg 1 CofCap'!D18</f>
        <v>0.49180000000000001</v>
      </c>
      <c r="I37" s="126"/>
      <c r="J37" s="127"/>
    </row>
    <row r="38" spans="1:39">
      <c r="A38" s="89">
        <f t="shared" si="3"/>
        <v>34</v>
      </c>
      <c r="B38" s="122" t="s">
        <v>123</v>
      </c>
      <c r="C38" s="122"/>
      <c r="D38" s="109"/>
      <c r="E38" s="99"/>
      <c r="F38" s="99"/>
      <c r="H38" s="129">
        <f>H36/H37</f>
        <v>7978568523.7901583</v>
      </c>
      <c r="I38" s="126"/>
      <c r="J38" s="127"/>
    </row>
    <row r="39" spans="1:39">
      <c r="A39" s="89">
        <f t="shared" si="3"/>
        <v>35</v>
      </c>
      <c r="B39" s="122"/>
      <c r="C39" s="122"/>
      <c r="D39" s="109"/>
      <c r="E39" s="99"/>
      <c r="F39" s="99"/>
      <c r="G39" s="111"/>
      <c r="H39" s="125"/>
      <c r="I39" s="126"/>
      <c r="J39" s="127"/>
    </row>
    <row r="40" spans="1:39">
      <c r="A40" s="89">
        <f>A39+1</f>
        <v>36</v>
      </c>
      <c r="B40" s="131" t="s">
        <v>158</v>
      </c>
      <c r="C40" s="132"/>
      <c r="D40" s="133"/>
      <c r="E40" s="133"/>
      <c r="F40" s="133"/>
      <c r="G40" s="133"/>
      <c r="H40" s="133"/>
      <c r="I40" s="133"/>
    </row>
    <row r="41" spans="1:39">
      <c r="A41" s="89">
        <f>A40+1</f>
        <v>37</v>
      </c>
      <c r="B41" s="131" t="s">
        <v>159</v>
      </c>
      <c r="C41" s="132"/>
      <c r="D41" s="133"/>
      <c r="E41" s="133"/>
      <c r="F41" s="133"/>
      <c r="G41" s="133"/>
      <c r="H41" s="118"/>
      <c r="I41" s="133"/>
    </row>
    <row r="42" spans="1:39" ht="21.75" customHeight="1">
      <c r="A42" s="89">
        <f t="shared" ref="A42" si="4">A41+1</f>
        <v>38</v>
      </c>
      <c r="B42" s="254" t="s">
        <v>160</v>
      </c>
      <c r="C42" s="254"/>
      <c r="D42" s="254"/>
      <c r="E42" s="254"/>
      <c r="F42" s="254"/>
      <c r="G42" s="254"/>
      <c r="H42" s="254"/>
      <c r="I42" s="254"/>
    </row>
    <row r="43" spans="1:39">
      <c r="A43" s="89"/>
      <c r="B43" s="134"/>
      <c r="C43" s="134"/>
      <c r="D43" s="134"/>
      <c r="E43" s="134"/>
      <c r="F43" s="133"/>
      <c r="H43" s="134"/>
      <c r="I43" s="133"/>
      <c r="J43" s="10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1:39">
      <c r="I44" s="133"/>
      <c r="J44" s="112"/>
    </row>
    <row r="45" spans="1:39">
      <c r="G45" s="136"/>
      <c r="I45" s="134"/>
      <c r="J45" s="137"/>
    </row>
    <row r="46" spans="1:39">
      <c r="J46" s="135" t="str">
        <f>IF(J45&lt;&gt;0,"ERROR","")</f>
        <v/>
      </c>
    </row>
    <row r="47" spans="1:39">
      <c r="I47" s="113"/>
    </row>
    <row r="48" spans="1:39">
      <c r="A48" s="138"/>
      <c r="B48" s="139"/>
      <c r="C48" s="139"/>
      <c r="D48" s="140"/>
      <c r="E48" s="141"/>
      <c r="F48" s="141"/>
      <c r="G48" s="142"/>
      <c r="H48" s="143"/>
      <c r="I48" s="113"/>
    </row>
    <row r="49" spans="1:9">
      <c r="A49" s="138"/>
      <c r="B49" s="139"/>
      <c r="C49" s="139"/>
      <c r="D49" s="140"/>
      <c r="E49" s="141"/>
      <c r="F49" s="141"/>
      <c r="G49" s="144"/>
      <c r="H49" s="143"/>
      <c r="I49" s="145"/>
    </row>
    <row r="50" spans="1:9">
      <c r="A50" s="138"/>
      <c r="B50" s="139"/>
      <c r="C50" s="139"/>
      <c r="D50" s="140"/>
      <c r="E50" s="141"/>
      <c r="F50" s="141"/>
      <c r="G50" s="144"/>
      <c r="H50" s="143"/>
      <c r="I50" s="145"/>
    </row>
    <row r="51" spans="1:9" hidden="1">
      <c r="A51" s="146"/>
      <c r="I51" s="147"/>
    </row>
    <row r="52" spans="1:9" hidden="1">
      <c r="A52" s="146"/>
      <c r="I52" s="148"/>
    </row>
    <row r="53" spans="1:9" hidden="1">
      <c r="A53" s="146"/>
    </row>
    <row r="54" spans="1:9">
      <c r="A54" s="138"/>
      <c r="B54" s="139"/>
      <c r="C54" s="139"/>
      <c r="D54" s="140"/>
      <c r="E54" s="141"/>
      <c r="F54" s="141"/>
      <c r="G54" s="144"/>
      <c r="H54" s="143"/>
      <c r="I54" s="145"/>
    </row>
    <row r="55" spans="1:9">
      <c r="A55" s="138"/>
      <c r="B55" s="139"/>
      <c r="C55" s="139"/>
      <c r="D55" s="140"/>
      <c r="E55" s="141"/>
      <c r="F55" s="141"/>
      <c r="G55" s="144"/>
      <c r="H55" s="143"/>
      <c r="I55" s="145"/>
    </row>
    <row r="56" spans="1:9">
      <c r="A56" s="146"/>
    </row>
    <row r="57" spans="1:9">
      <c r="A57" s="146"/>
    </row>
    <row r="58" spans="1:9">
      <c r="A58" s="146"/>
    </row>
    <row r="59" spans="1:9">
      <c r="A59" s="146"/>
    </row>
    <row r="60" spans="1:9">
      <c r="A60" s="146"/>
    </row>
    <row r="61" spans="1:9">
      <c r="A61" s="146"/>
    </row>
    <row r="62" spans="1:9">
      <c r="A62" s="146"/>
    </row>
    <row r="63" spans="1:9">
      <c r="A63" s="146"/>
    </row>
    <row r="64" spans="1:9">
      <c r="A64" s="146"/>
    </row>
    <row r="65" spans="4:6">
      <c r="D65" s="139"/>
    </row>
    <row r="66" spans="4:6">
      <c r="D66" s="149"/>
      <c r="F66" s="150"/>
    </row>
    <row r="67" spans="4:6">
      <c r="D67" s="151"/>
    </row>
  </sheetData>
  <mergeCells count="8">
    <mergeCell ref="B42:I42"/>
    <mergeCell ref="A1:I1"/>
    <mergeCell ref="A2:I2"/>
    <mergeCell ref="A3:I3"/>
    <mergeCell ref="G8:G9"/>
    <mergeCell ref="H8:H9"/>
    <mergeCell ref="F6:F9"/>
    <mergeCell ref="I6:I9"/>
  </mergeCells>
  <phoneticPr fontId="6" type="noConversion"/>
  <printOptions horizontalCentered="1"/>
  <pageMargins left="0.5" right="0.5" top="1" bottom="1" header="0.5" footer="0.5"/>
  <pageSetup orientation="portrait" r:id="rId1"/>
  <headerFooter scaleWithDoc="0" alignWithMargins="0">
    <oddFooter>&amp;R&amp;"Times New Roman,Regular"&amp;12Exh. MDM-5
Page 2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pane ySplit="6" topLeftCell="A7" activePane="bottomLeft" state="frozen"/>
      <selection sqref="A1:XFD1048576"/>
      <selection pane="bottomLeft" sqref="A1:XFD1048576"/>
    </sheetView>
  </sheetViews>
  <sheetFormatPr defaultColWidth="10.42578125" defaultRowHeight="12"/>
  <cols>
    <col min="1" max="1" width="3.42578125" style="39" customWidth="1"/>
    <col min="2" max="2" width="32.28515625" style="39" customWidth="1"/>
    <col min="3" max="3" width="12.7109375" style="39" bestFit="1" customWidth="1"/>
    <col min="4" max="15" width="13.7109375" style="39" customWidth="1"/>
    <col min="16" max="16" width="14.28515625" style="39" customWidth="1"/>
    <col min="17" max="17" width="2" style="39" customWidth="1"/>
    <col min="18" max="18" width="8" style="39" bestFit="1" customWidth="1"/>
    <col min="19" max="16384" width="10.42578125" style="39"/>
  </cols>
  <sheetData>
    <row r="1" spans="1:16" ht="13.2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3.2">
      <c r="A2" s="255" t="s">
        <v>76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3.5" customHeight="1">
      <c r="A3" s="255" t="str">
        <f>'Pg 2 Cost of Total Debt'!$A$3</f>
        <v>For The 12 Months Ended March 31, 2021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13.2">
      <c r="A4" s="40"/>
      <c r="B4" s="41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>
      <c r="A5" s="42">
        <v>1</v>
      </c>
      <c r="B5" s="7" t="s">
        <v>1</v>
      </c>
      <c r="C5" s="7" t="s">
        <v>16</v>
      </c>
      <c r="D5" s="7" t="s">
        <v>26</v>
      </c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35</v>
      </c>
      <c r="L5" s="7" t="s">
        <v>36</v>
      </c>
      <c r="M5" s="7" t="s">
        <v>37</v>
      </c>
      <c r="N5" s="7" t="s">
        <v>38</v>
      </c>
      <c r="O5" s="7" t="s">
        <v>39</v>
      </c>
      <c r="P5" s="7" t="s">
        <v>40</v>
      </c>
    </row>
    <row r="6" spans="1:16" ht="12" customHeight="1">
      <c r="A6" s="42">
        <f>A5+1</f>
        <v>2</v>
      </c>
      <c r="B6" s="40"/>
      <c r="C6" s="43">
        <v>43921</v>
      </c>
      <c r="D6" s="43">
        <f>EOMONTH(C6,1)</f>
        <v>43951</v>
      </c>
      <c r="E6" s="43">
        <f t="shared" ref="E6:O6" si="0">EOMONTH(D6,1)</f>
        <v>43982</v>
      </c>
      <c r="F6" s="43">
        <f t="shared" si="0"/>
        <v>44012</v>
      </c>
      <c r="G6" s="43">
        <f t="shared" si="0"/>
        <v>44043</v>
      </c>
      <c r="H6" s="43">
        <f t="shared" si="0"/>
        <v>44074</v>
      </c>
      <c r="I6" s="43">
        <f t="shared" si="0"/>
        <v>44104</v>
      </c>
      <c r="J6" s="43">
        <f t="shared" si="0"/>
        <v>44135</v>
      </c>
      <c r="K6" s="43">
        <f t="shared" si="0"/>
        <v>44165</v>
      </c>
      <c r="L6" s="43">
        <f t="shared" si="0"/>
        <v>44196</v>
      </c>
      <c r="M6" s="43">
        <f t="shared" si="0"/>
        <v>44227</v>
      </c>
      <c r="N6" s="43">
        <f t="shared" si="0"/>
        <v>44255</v>
      </c>
      <c r="O6" s="43">
        <f t="shared" si="0"/>
        <v>44286</v>
      </c>
      <c r="P6" s="44" t="s">
        <v>77</v>
      </c>
    </row>
    <row r="7" spans="1:16">
      <c r="A7" s="42">
        <f>A6+1</f>
        <v>3</v>
      </c>
      <c r="B7" s="45" t="s">
        <v>78</v>
      </c>
      <c r="C7" s="46">
        <f>'Pg 2 Cost of Total Debt'!H38*'Pg 1 CofCap'!D14/1000</f>
        <v>185102.78975193168</v>
      </c>
      <c r="D7" s="46">
        <f>C7</f>
        <v>185102.78975193168</v>
      </c>
      <c r="E7" s="46">
        <f t="shared" ref="E7:O7" si="1">D7</f>
        <v>185102.78975193168</v>
      </c>
      <c r="F7" s="46">
        <f t="shared" si="1"/>
        <v>185102.78975193168</v>
      </c>
      <c r="G7" s="46">
        <f t="shared" si="1"/>
        <v>185102.78975193168</v>
      </c>
      <c r="H7" s="46">
        <f t="shared" si="1"/>
        <v>185102.78975193168</v>
      </c>
      <c r="I7" s="46">
        <f t="shared" si="1"/>
        <v>185102.78975193168</v>
      </c>
      <c r="J7" s="46">
        <f t="shared" si="1"/>
        <v>185102.78975193168</v>
      </c>
      <c r="K7" s="46">
        <f t="shared" si="1"/>
        <v>185102.78975193168</v>
      </c>
      <c r="L7" s="46">
        <f t="shared" si="1"/>
        <v>185102.78975193168</v>
      </c>
      <c r="M7" s="46">
        <f t="shared" si="1"/>
        <v>185102.78975193168</v>
      </c>
      <c r="N7" s="46">
        <f t="shared" si="1"/>
        <v>185102.78975193168</v>
      </c>
      <c r="O7" s="46">
        <f t="shared" si="1"/>
        <v>185102.78975193168</v>
      </c>
      <c r="P7" s="47">
        <f>ROUND(((C7+O7)+(SUM(D7:N7)*2))/24,3)</f>
        <v>185102.79</v>
      </c>
    </row>
    <row r="8" spans="1:16" ht="5.25" customHeight="1">
      <c r="A8" s="42"/>
      <c r="B8" s="4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>
      <c r="A9" s="42">
        <f>A7+1</f>
        <v>4</v>
      </c>
      <c r="B9" s="45" t="s">
        <v>79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6"/>
    </row>
    <row r="10" spans="1:16">
      <c r="A10" s="42">
        <f>A9+1</f>
        <v>5</v>
      </c>
      <c r="B10" s="48" t="s">
        <v>80</v>
      </c>
      <c r="C10" s="46">
        <f>MIN(0.5*C7,125000)</f>
        <v>92551.394875965838</v>
      </c>
      <c r="D10" s="46">
        <f t="shared" ref="D10:O10" si="2">MIN(0.5*D7,125000)</f>
        <v>92551.394875965838</v>
      </c>
      <c r="E10" s="46">
        <f t="shared" si="2"/>
        <v>92551.394875965838</v>
      </c>
      <c r="F10" s="46">
        <f t="shared" si="2"/>
        <v>92551.394875965838</v>
      </c>
      <c r="G10" s="46">
        <f t="shared" si="2"/>
        <v>92551.394875965838</v>
      </c>
      <c r="H10" s="46">
        <f t="shared" si="2"/>
        <v>92551.394875965838</v>
      </c>
      <c r="I10" s="46">
        <f t="shared" si="2"/>
        <v>92551.394875965838</v>
      </c>
      <c r="J10" s="46">
        <f t="shared" si="2"/>
        <v>92551.394875965838</v>
      </c>
      <c r="K10" s="46">
        <f t="shared" si="2"/>
        <v>92551.394875965838</v>
      </c>
      <c r="L10" s="46">
        <f t="shared" si="2"/>
        <v>92551.394875965838</v>
      </c>
      <c r="M10" s="46">
        <f t="shared" si="2"/>
        <v>92551.394875965838</v>
      </c>
      <c r="N10" s="46">
        <f t="shared" si="2"/>
        <v>92551.394875965838</v>
      </c>
      <c r="O10" s="46">
        <f t="shared" si="2"/>
        <v>92551.394875965838</v>
      </c>
      <c r="P10" s="47">
        <f>ROUND(((C10+O10)+(SUM(D10:N10)*2))/24,3)</f>
        <v>92551.395000000004</v>
      </c>
    </row>
    <row r="11" spans="1:16">
      <c r="A11" s="42">
        <f>A10+1</f>
        <v>6</v>
      </c>
      <c r="B11" s="48" t="s">
        <v>81</v>
      </c>
      <c r="C11" s="50">
        <f t="shared" ref="C11:O11" si="3">C7-C10</f>
        <v>92551.394875965838</v>
      </c>
      <c r="D11" s="50">
        <f t="shared" si="3"/>
        <v>92551.394875965838</v>
      </c>
      <c r="E11" s="50">
        <f t="shared" si="3"/>
        <v>92551.394875965838</v>
      </c>
      <c r="F11" s="50">
        <f t="shared" si="3"/>
        <v>92551.394875965838</v>
      </c>
      <c r="G11" s="50">
        <f t="shared" si="3"/>
        <v>92551.394875965838</v>
      </c>
      <c r="H11" s="50">
        <f t="shared" si="3"/>
        <v>92551.394875965838</v>
      </c>
      <c r="I11" s="50">
        <f t="shared" si="3"/>
        <v>92551.394875965838</v>
      </c>
      <c r="J11" s="50">
        <f t="shared" si="3"/>
        <v>92551.394875965838</v>
      </c>
      <c r="K11" s="50">
        <f t="shared" si="3"/>
        <v>92551.394875965838</v>
      </c>
      <c r="L11" s="50">
        <f t="shared" si="3"/>
        <v>92551.394875965838</v>
      </c>
      <c r="M11" s="50">
        <f t="shared" si="3"/>
        <v>92551.394875965838</v>
      </c>
      <c r="N11" s="50">
        <f t="shared" si="3"/>
        <v>92551.394875965838</v>
      </c>
      <c r="O11" s="50">
        <f t="shared" si="3"/>
        <v>92551.394875965838</v>
      </c>
      <c r="P11" s="47">
        <f>ROUND(((C11+O11)+(SUM(D11:N11)*2))/24,3)</f>
        <v>92551.395000000004</v>
      </c>
    </row>
    <row r="12" spans="1:16">
      <c r="A12" s="42">
        <f>A11+1</f>
        <v>7</v>
      </c>
      <c r="B12" s="51" t="s">
        <v>82</v>
      </c>
      <c r="C12" s="52">
        <f t="shared" ref="C12:O12" si="4">SUM(C10:C11)</f>
        <v>185102.78975193168</v>
      </c>
      <c r="D12" s="52">
        <f t="shared" si="4"/>
        <v>185102.78975193168</v>
      </c>
      <c r="E12" s="52">
        <f t="shared" si="4"/>
        <v>185102.78975193168</v>
      </c>
      <c r="F12" s="52">
        <f t="shared" si="4"/>
        <v>185102.78975193168</v>
      </c>
      <c r="G12" s="52">
        <f t="shared" si="4"/>
        <v>185102.78975193168</v>
      </c>
      <c r="H12" s="52">
        <f t="shared" si="4"/>
        <v>185102.78975193168</v>
      </c>
      <c r="I12" s="52">
        <f t="shared" si="4"/>
        <v>185102.78975193168</v>
      </c>
      <c r="J12" s="52">
        <f t="shared" si="4"/>
        <v>185102.78975193168</v>
      </c>
      <c r="K12" s="52">
        <f t="shared" si="4"/>
        <v>185102.78975193168</v>
      </c>
      <c r="L12" s="52">
        <f t="shared" si="4"/>
        <v>185102.78975193168</v>
      </c>
      <c r="M12" s="52">
        <f t="shared" si="4"/>
        <v>185102.78975193168</v>
      </c>
      <c r="N12" s="52">
        <f t="shared" si="4"/>
        <v>185102.78975193168</v>
      </c>
      <c r="O12" s="52">
        <f t="shared" si="4"/>
        <v>185102.78975193168</v>
      </c>
      <c r="P12" s="53">
        <f>ROUND(((C12+O12)+(SUM(D12:N12)*2))/24,3)</f>
        <v>185102.79</v>
      </c>
    </row>
    <row r="13" spans="1:16" ht="5.25" customHeight="1">
      <c r="A13" s="42"/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3.5" customHeight="1">
      <c r="A14" s="42">
        <f>A12+1</f>
        <v>8</v>
      </c>
      <c r="B14" s="45" t="s">
        <v>69</v>
      </c>
      <c r="M14" s="54"/>
      <c r="N14" s="55"/>
      <c r="O14" s="56"/>
      <c r="P14" s="57"/>
    </row>
    <row r="15" spans="1:16">
      <c r="A15" s="42">
        <f>A14+1</f>
        <v>9</v>
      </c>
      <c r="B15" s="48" t="s">
        <v>83</v>
      </c>
      <c r="C15" s="58">
        <v>1.701502899398967E-2</v>
      </c>
      <c r="D15" s="58">
        <v>1.7393747146551806E-2</v>
      </c>
      <c r="E15" s="58">
        <v>1.7651229915058901E-2</v>
      </c>
      <c r="F15" s="58">
        <v>1.7653260776928314E-2</v>
      </c>
      <c r="G15" s="58">
        <v>1.7459353986646858E-2</v>
      </c>
      <c r="H15" s="58">
        <v>1.7193700271223612E-2</v>
      </c>
      <c r="I15" s="58">
        <v>1.6967221729636852E-2</v>
      </c>
      <c r="J15" s="58">
        <v>1.6801552834471985E-2</v>
      </c>
      <c r="K15" s="58">
        <v>1.6696811535124045E-2</v>
      </c>
      <c r="L15" s="58">
        <v>1.6650975373040344E-2</v>
      </c>
      <c r="M15" s="58">
        <v>1.6651688892461901E-2</v>
      </c>
      <c r="N15" s="58">
        <v>1.6682160653706108E-2</v>
      </c>
      <c r="O15" s="58">
        <v>1.6737597291357816E-2</v>
      </c>
      <c r="P15" s="46"/>
    </row>
    <row r="16" spans="1:16">
      <c r="A16" s="42">
        <f>A15+1</f>
        <v>10</v>
      </c>
      <c r="B16" s="48" t="s">
        <v>84</v>
      </c>
      <c r="C16" s="59">
        <v>2.0999999999999999E-3</v>
      </c>
      <c r="D16" s="59">
        <f>C16</f>
        <v>2.0999999999999999E-3</v>
      </c>
      <c r="E16" s="59">
        <f t="shared" ref="E16:O17" si="5">D16</f>
        <v>2.0999999999999999E-3</v>
      </c>
      <c r="F16" s="59">
        <f t="shared" si="5"/>
        <v>2.0999999999999999E-3</v>
      </c>
      <c r="G16" s="59">
        <f t="shared" si="5"/>
        <v>2.0999999999999999E-3</v>
      </c>
      <c r="H16" s="59">
        <f>G16</f>
        <v>2.0999999999999999E-3</v>
      </c>
      <c r="I16" s="59">
        <f t="shared" si="5"/>
        <v>2.0999999999999999E-3</v>
      </c>
      <c r="J16" s="59">
        <f t="shared" si="5"/>
        <v>2.0999999999999999E-3</v>
      </c>
      <c r="K16" s="59">
        <f t="shared" si="5"/>
        <v>2.0999999999999999E-3</v>
      </c>
      <c r="L16" s="59">
        <f t="shared" si="5"/>
        <v>2.0999999999999999E-3</v>
      </c>
      <c r="M16" s="59">
        <f t="shared" si="5"/>
        <v>2.0999999999999999E-3</v>
      </c>
      <c r="N16" s="59">
        <f t="shared" si="5"/>
        <v>2.0999999999999999E-3</v>
      </c>
      <c r="O16" s="59">
        <f t="shared" si="5"/>
        <v>2.0999999999999999E-3</v>
      </c>
      <c r="P16" s="46"/>
    </row>
    <row r="17" spans="1:18">
      <c r="A17" s="42">
        <f>A16+1</f>
        <v>11</v>
      </c>
      <c r="B17" s="48" t="s">
        <v>85</v>
      </c>
      <c r="C17" s="59">
        <v>1.2500000000000001E-2</v>
      </c>
      <c r="D17" s="59">
        <f>C17</f>
        <v>1.2500000000000001E-2</v>
      </c>
      <c r="E17" s="59">
        <f t="shared" si="5"/>
        <v>1.2500000000000001E-2</v>
      </c>
      <c r="F17" s="59">
        <f t="shared" si="5"/>
        <v>1.2500000000000001E-2</v>
      </c>
      <c r="G17" s="59">
        <f t="shared" si="5"/>
        <v>1.2500000000000001E-2</v>
      </c>
      <c r="H17" s="59">
        <f t="shared" si="5"/>
        <v>1.2500000000000001E-2</v>
      </c>
      <c r="I17" s="59">
        <f t="shared" si="5"/>
        <v>1.2500000000000001E-2</v>
      </c>
      <c r="J17" s="59">
        <f t="shared" si="5"/>
        <v>1.2500000000000001E-2</v>
      </c>
      <c r="K17" s="59">
        <f t="shared" si="5"/>
        <v>1.2500000000000001E-2</v>
      </c>
      <c r="L17" s="59">
        <f t="shared" si="5"/>
        <v>1.2500000000000001E-2</v>
      </c>
      <c r="M17" s="59">
        <f t="shared" si="5"/>
        <v>1.2500000000000001E-2</v>
      </c>
      <c r="N17" s="59">
        <f t="shared" si="5"/>
        <v>1.2500000000000001E-2</v>
      </c>
      <c r="O17" s="59">
        <f t="shared" si="5"/>
        <v>1.2500000000000001E-2</v>
      </c>
      <c r="P17" s="46"/>
    </row>
    <row r="18" spans="1:18" ht="6" customHeight="1">
      <c r="A18" s="42"/>
      <c r="B18" s="48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46"/>
    </row>
    <row r="19" spans="1:18" ht="12" customHeight="1">
      <c r="A19" s="42">
        <f>A17+1</f>
        <v>12</v>
      </c>
      <c r="B19" s="45" t="s">
        <v>86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46"/>
    </row>
    <row r="20" spans="1:18">
      <c r="A20" s="42">
        <f>A19+1</f>
        <v>13</v>
      </c>
      <c r="B20" s="61" t="s">
        <v>87</v>
      </c>
      <c r="C20" s="62">
        <f t="shared" ref="C20:O20" si="6">C15+C16</f>
        <v>1.9115028993989671E-2</v>
      </c>
      <c r="D20" s="62">
        <f t="shared" si="6"/>
        <v>1.9493747146551808E-2</v>
      </c>
      <c r="E20" s="62">
        <f t="shared" si="6"/>
        <v>1.9751229915058902E-2</v>
      </c>
      <c r="F20" s="62">
        <f t="shared" si="6"/>
        <v>1.9753260776928315E-2</v>
      </c>
      <c r="G20" s="62">
        <f t="shared" si="6"/>
        <v>1.955935398664686E-2</v>
      </c>
      <c r="H20" s="62">
        <f t="shared" si="6"/>
        <v>1.9293700271223613E-2</v>
      </c>
      <c r="I20" s="62">
        <f t="shared" si="6"/>
        <v>1.9067221729636853E-2</v>
      </c>
      <c r="J20" s="62">
        <f t="shared" si="6"/>
        <v>1.8901552834471987E-2</v>
      </c>
      <c r="K20" s="62">
        <f t="shared" si="6"/>
        <v>1.8796811535124046E-2</v>
      </c>
      <c r="L20" s="62">
        <f t="shared" si="6"/>
        <v>1.8750975373040345E-2</v>
      </c>
      <c r="M20" s="62">
        <f t="shared" si="6"/>
        <v>1.8751688892461902E-2</v>
      </c>
      <c r="N20" s="62">
        <f t="shared" si="6"/>
        <v>1.8782160653706109E-2</v>
      </c>
      <c r="O20" s="62">
        <f t="shared" si="6"/>
        <v>1.8837597291357817E-2</v>
      </c>
      <c r="P20" s="46"/>
    </row>
    <row r="21" spans="1:18">
      <c r="A21" s="42">
        <f>A20+1</f>
        <v>14</v>
      </c>
      <c r="B21" s="61" t="s">
        <v>81</v>
      </c>
      <c r="C21" s="62">
        <f t="shared" ref="C21:O21" si="7">C15+C17</f>
        <v>2.9515028993989671E-2</v>
      </c>
      <c r="D21" s="62">
        <f t="shared" si="7"/>
        <v>2.9893747146551807E-2</v>
      </c>
      <c r="E21" s="62">
        <f t="shared" si="7"/>
        <v>3.0151229915058902E-2</v>
      </c>
      <c r="F21" s="62">
        <f t="shared" si="7"/>
        <v>3.0153260776928315E-2</v>
      </c>
      <c r="G21" s="62">
        <f t="shared" si="7"/>
        <v>2.9959353986646859E-2</v>
      </c>
      <c r="H21" s="62">
        <f t="shared" si="7"/>
        <v>2.9693700271223613E-2</v>
      </c>
      <c r="I21" s="62">
        <f t="shared" si="7"/>
        <v>2.9467221729636853E-2</v>
      </c>
      <c r="J21" s="62">
        <f t="shared" si="7"/>
        <v>2.9301552834471986E-2</v>
      </c>
      <c r="K21" s="62">
        <f t="shared" si="7"/>
        <v>2.9196811535124045E-2</v>
      </c>
      <c r="L21" s="62">
        <f t="shared" si="7"/>
        <v>2.9150975373040344E-2</v>
      </c>
      <c r="M21" s="62">
        <f t="shared" si="7"/>
        <v>2.9151688892461902E-2</v>
      </c>
      <c r="N21" s="62">
        <f t="shared" si="7"/>
        <v>2.9182160653706109E-2</v>
      </c>
      <c r="O21" s="62">
        <f t="shared" si="7"/>
        <v>2.9237597291357817E-2</v>
      </c>
      <c r="P21" s="46"/>
    </row>
    <row r="22" spans="1:18" ht="5.25" customHeight="1">
      <c r="A22" s="42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8">
      <c r="A23" s="42">
        <f>A21+1</f>
        <v>15</v>
      </c>
      <c r="B23" s="48" t="s">
        <v>88</v>
      </c>
      <c r="C23" s="48"/>
      <c r="D23" s="48">
        <f t="shared" ref="D23:O23" si="8">D6-C6</f>
        <v>30</v>
      </c>
      <c r="E23" s="48">
        <f t="shared" si="8"/>
        <v>31</v>
      </c>
      <c r="F23" s="48">
        <f t="shared" si="8"/>
        <v>30</v>
      </c>
      <c r="G23" s="48">
        <f t="shared" si="8"/>
        <v>31</v>
      </c>
      <c r="H23" s="48">
        <f t="shared" si="8"/>
        <v>31</v>
      </c>
      <c r="I23" s="48">
        <f t="shared" si="8"/>
        <v>30</v>
      </c>
      <c r="J23" s="48">
        <f t="shared" si="8"/>
        <v>31</v>
      </c>
      <c r="K23" s="48">
        <f t="shared" si="8"/>
        <v>30</v>
      </c>
      <c r="L23" s="48">
        <f t="shared" si="8"/>
        <v>31</v>
      </c>
      <c r="M23" s="48">
        <f t="shared" si="8"/>
        <v>31</v>
      </c>
      <c r="N23" s="48">
        <f t="shared" si="8"/>
        <v>28</v>
      </c>
      <c r="O23" s="48">
        <f t="shared" si="8"/>
        <v>31</v>
      </c>
      <c r="P23" s="63"/>
    </row>
    <row r="24" spans="1:18" ht="3.75" customHeight="1">
      <c r="A24" s="4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3"/>
    </row>
    <row r="25" spans="1:18">
      <c r="A25" s="42">
        <f>A23+1</f>
        <v>16</v>
      </c>
      <c r="B25" s="45" t="s">
        <v>89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4" t="s">
        <v>61</v>
      </c>
    </row>
    <row r="26" spans="1:18">
      <c r="A26" s="42">
        <f>A25+1</f>
        <v>17</v>
      </c>
      <c r="B26" s="48" t="s">
        <v>90</v>
      </c>
      <c r="C26" s="48"/>
      <c r="D26" s="46">
        <f>AVERAGE(C10:D10)*(D20*D23/360)*1000</f>
        <v>150347.7908143957</v>
      </c>
      <c r="E26" s="46">
        <f t="shared" ref="E26:O26" si="9">AVERAGE(D10:E10)*(E20*E23/360)*1000</f>
        <v>157411.44514942437</v>
      </c>
      <c r="F26" s="46">
        <f t="shared" si="9"/>
        <v>152349.31985445169</v>
      </c>
      <c r="G26" s="46">
        <f t="shared" si="9"/>
        <v>155882.25090123736</v>
      </c>
      <c r="H26" s="46">
        <f t="shared" si="9"/>
        <v>153765.06956954702</v>
      </c>
      <c r="I26" s="46">
        <f t="shared" si="9"/>
        <v>147058.16395726806</v>
      </c>
      <c r="J26" s="46">
        <f t="shared" si="9"/>
        <v>150639.77079087941</v>
      </c>
      <c r="K26" s="46">
        <f t="shared" si="9"/>
        <v>144972.59389969797</v>
      </c>
      <c r="L26" s="46">
        <f t="shared" si="9"/>
        <v>149439.71307736888</v>
      </c>
      <c r="M26" s="46">
        <f t="shared" si="9"/>
        <v>149445.39961556284</v>
      </c>
      <c r="N26" s="46">
        <f t="shared" si="9"/>
        <v>135202.29078883198</v>
      </c>
      <c r="O26" s="46">
        <f t="shared" si="9"/>
        <v>150130.06407842593</v>
      </c>
      <c r="P26" s="47">
        <f>SUM(D26:O26)</f>
        <v>1796643.8724970911</v>
      </c>
    </row>
    <row r="27" spans="1:18">
      <c r="A27" s="42">
        <f>A26+1</f>
        <v>18</v>
      </c>
      <c r="B27" s="48" t="s">
        <v>91</v>
      </c>
      <c r="C27" s="48"/>
      <c r="D27" s="46">
        <f>AVERAGE(C11:D11)*(D21*D23/360)*1000</f>
        <v>230558.99970689946</v>
      </c>
      <c r="E27" s="46">
        <f t="shared" ref="E27:O27" si="10">AVERAGE(D11:E11)*(E21*E23/360)*1000</f>
        <v>240296.36100501157</v>
      </c>
      <c r="F27" s="46">
        <f t="shared" si="10"/>
        <v>232560.52874695542</v>
      </c>
      <c r="G27" s="46">
        <f t="shared" si="10"/>
        <v>238767.16675682456</v>
      </c>
      <c r="H27" s="46">
        <f t="shared" si="10"/>
        <v>236649.98542513419</v>
      </c>
      <c r="I27" s="46">
        <f t="shared" si="10"/>
        <v>227269.37284977181</v>
      </c>
      <c r="J27" s="46">
        <f t="shared" si="10"/>
        <v>233524.68664646661</v>
      </c>
      <c r="K27" s="46">
        <f t="shared" si="10"/>
        <v>225183.80279220166</v>
      </c>
      <c r="L27" s="46">
        <f t="shared" si="10"/>
        <v>232324.62893295608</v>
      </c>
      <c r="M27" s="46">
        <f t="shared" si="10"/>
        <v>232330.31547115001</v>
      </c>
      <c r="N27" s="46">
        <f t="shared" si="10"/>
        <v>210066.08575516881</v>
      </c>
      <c r="O27" s="46">
        <f t="shared" si="10"/>
        <v>233014.97993401313</v>
      </c>
      <c r="P27" s="47">
        <f>SUM(D27:O27)</f>
        <v>2772546.9140225532</v>
      </c>
    </row>
    <row r="28" spans="1:18" ht="12.6" thickBot="1">
      <c r="A28" s="42">
        <f>A27+1</f>
        <v>19</v>
      </c>
      <c r="B28" s="65" t="s">
        <v>92</v>
      </c>
      <c r="C28" s="48"/>
      <c r="D28" s="66">
        <f t="shared" ref="D28:O28" si="11">SUM(D26:D27)</f>
        <v>380906.79052129516</v>
      </c>
      <c r="E28" s="66">
        <f t="shared" si="11"/>
        <v>397707.80615443597</v>
      </c>
      <c r="F28" s="66">
        <f t="shared" si="11"/>
        <v>384909.84860140714</v>
      </c>
      <c r="G28" s="66">
        <f t="shared" si="11"/>
        <v>394649.41765806195</v>
      </c>
      <c r="H28" s="66">
        <f t="shared" si="11"/>
        <v>390415.05499468121</v>
      </c>
      <c r="I28" s="66">
        <f t="shared" si="11"/>
        <v>374327.53680703987</v>
      </c>
      <c r="J28" s="66">
        <f t="shared" si="11"/>
        <v>384164.45743734599</v>
      </c>
      <c r="K28" s="66">
        <f t="shared" si="11"/>
        <v>370156.39669189963</v>
      </c>
      <c r="L28" s="66">
        <f t="shared" si="11"/>
        <v>381764.34201032494</v>
      </c>
      <c r="M28" s="66">
        <f t="shared" si="11"/>
        <v>381775.71508671285</v>
      </c>
      <c r="N28" s="66">
        <f t="shared" si="11"/>
        <v>345268.37654400081</v>
      </c>
      <c r="O28" s="66">
        <f t="shared" si="11"/>
        <v>383145.04401243909</v>
      </c>
      <c r="P28" s="67">
        <f>SUM(D28:O28)</f>
        <v>4569190.7865196448</v>
      </c>
    </row>
    <row r="29" spans="1:18" ht="5.25" customHeight="1" thickTop="1">
      <c r="A29" s="4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3"/>
    </row>
    <row r="30" spans="1:18">
      <c r="A30" s="42">
        <f>A28+1</f>
        <v>20</v>
      </c>
      <c r="B30" s="40" t="s">
        <v>93</v>
      </c>
      <c r="C30" s="54"/>
      <c r="D30" s="59">
        <f t="shared" ref="D30:O30" si="12">(+D28/1000)/((D12+C12)/2)*(360/D23)</f>
        <v>2.4693747146551807E-2</v>
      </c>
      <c r="E30" s="59">
        <f t="shared" si="12"/>
        <v>2.4951229915058906E-2</v>
      </c>
      <c r="F30" s="59">
        <f t="shared" si="12"/>
        <v>2.4953260776928318E-2</v>
      </c>
      <c r="G30" s="59">
        <f t="shared" si="12"/>
        <v>2.4759353986646863E-2</v>
      </c>
      <c r="H30" s="59">
        <f t="shared" si="12"/>
        <v>2.4493700271223613E-2</v>
      </c>
      <c r="I30" s="59">
        <f t="shared" si="12"/>
        <v>2.4267221729636849E-2</v>
      </c>
      <c r="J30" s="59">
        <f t="shared" si="12"/>
        <v>2.4101552834471986E-2</v>
      </c>
      <c r="K30" s="59">
        <f t="shared" si="12"/>
        <v>2.3996811535124053E-2</v>
      </c>
      <c r="L30" s="59">
        <f t="shared" si="12"/>
        <v>2.3950975373040341E-2</v>
      </c>
      <c r="M30" s="59">
        <f t="shared" si="12"/>
        <v>2.3951688892461902E-2</v>
      </c>
      <c r="N30" s="59">
        <f t="shared" si="12"/>
        <v>2.3982160653706112E-2</v>
      </c>
      <c r="O30" s="59">
        <f t="shared" si="12"/>
        <v>2.4037597291357817E-2</v>
      </c>
      <c r="P30" s="59">
        <f>ROUND(P28/(P7*1000),4)</f>
        <v>2.47E-2</v>
      </c>
      <c r="R30" s="59"/>
    </row>
    <row r="31" spans="1:18" ht="4.5" customHeight="1">
      <c r="A31" s="4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63"/>
    </row>
    <row r="32" spans="1:18">
      <c r="A32" s="42">
        <f>A30+1</f>
        <v>21</v>
      </c>
      <c r="B32" s="45" t="s">
        <v>94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3"/>
    </row>
    <row r="33" spans="1:18">
      <c r="A33" s="42">
        <f>A32+1</f>
        <v>22</v>
      </c>
      <c r="B33" s="48" t="s">
        <v>95</v>
      </c>
      <c r="C33" s="46">
        <v>800000</v>
      </c>
      <c r="D33" s="46">
        <f>C33</f>
        <v>800000</v>
      </c>
      <c r="E33" s="46">
        <f t="shared" ref="E33:O33" si="13">D33</f>
        <v>800000</v>
      </c>
      <c r="F33" s="46">
        <f t="shared" si="13"/>
        <v>800000</v>
      </c>
      <c r="G33" s="46">
        <f t="shared" si="13"/>
        <v>800000</v>
      </c>
      <c r="H33" s="46">
        <f t="shared" si="13"/>
        <v>800000</v>
      </c>
      <c r="I33" s="46">
        <f t="shared" si="13"/>
        <v>800000</v>
      </c>
      <c r="J33" s="46">
        <f t="shared" si="13"/>
        <v>800000</v>
      </c>
      <c r="K33" s="46">
        <f t="shared" si="13"/>
        <v>800000</v>
      </c>
      <c r="L33" s="46">
        <f t="shared" si="13"/>
        <v>800000</v>
      </c>
      <c r="M33" s="46">
        <f t="shared" si="13"/>
        <v>800000</v>
      </c>
      <c r="N33" s="46">
        <f t="shared" si="13"/>
        <v>800000</v>
      </c>
      <c r="O33" s="46">
        <f t="shared" si="13"/>
        <v>800000</v>
      </c>
      <c r="P33" s="63"/>
    </row>
    <row r="34" spans="1:18">
      <c r="A34" s="42">
        <f>A33+1</f>
        <v>23</v>
      </c>
      <c r="B34" s="48" t="s">
        <v>96</v>
      </c>
      <c r="C34" s="68">
        <f>C11+C42</f>
        <v>92551.394875965838</v>
      </c>
      <c r="D34" s="46">
        <f t="shared" ref="D34:O34" si="14">D11+D42</f>
        <v>92551.394875965838</v>
      </c>
      <c r="E34" s="46">
        <f t="shared" si="14"/>
        <v>92551.394875965838</v>
      </c>
      <c r="F34" s="46">
        <f t="shared" si="14"/>
        <v>92551.394875965838</v>
      </c>
      <c r="G34" s="46">
        <f t="shared" si="14"/>
        <v>92551.394875965838</v>
      </c>
      <c r="H34" s="46">
        <f t="shared" si="14"/>
        <v>92551.394875965838</v>
      </c>
      <c r="I34" s="46">
        <f t="shared" si="14"/>
        <v>92551.394875965838</v>
      </c>
      <c r="J34" s="46">
        <f t="shared" si="14"/>
        <v>92551.394875965838</v>
      </c>
      <c r="K34" s="46">
        <f t="shared" si="14"/>
        <v>92551.394875965838</v>
      </c>
      <c r="L34" s="46">
        <f t="shared" si="14"/>
        <v>92551.394875965838</v>
      </c>
      <c r="M34" s="46">
        <f t="shared" si="14"/>
        <v>92551.394875965838</v>
      </c>
      <c r="N34" s="46">
        <f t="shared" si="14"/>
        <v>92551.394875965838</v>
      </c>
      <c r="O34" s="46">
        <f t="shared" si="14"/>
        <v>92551.394875965838</v>
      </c>
      <c r="P34" s="63"/>
    </row>
    <row r="35" spans="1:18">
      <c r="A35" s="42">
        <f>A34+1</f>
        <v>24</v>
      </c>
      <c r="B35" s="69" t="s">
        <v>97</v>
      </c>
      <c r="C35" s="70">
        <f>C33-C34</f>
        <v>707448.60512403422</v>
      </c>
      <c r="D35" s="70">
        <f t="shared" ref="D35:O35" si="15">D33-D34</f>
        <v>707448.60512403422</v>
      </c>
      <c r="E35" s="70">
        <f t="shared" si="15"/>
        <v>707448.60512403422</v>
      </c>
      <c r="F35" s="70">
        <f t="shared" si="15"/>
        <v>707448.60512403422</v>
      </c>
      <c r="G35" s="70">
        <f t="shared" si="15"/>
        <v>707448.60512403422</v>
      </c>
      <c r="H35" s="70">
        <f t="shared" si="15"/>
        <v>707448.60512403422</v>
      </c>
      <c r="I35" s="70">
        <f t="shared" si="15"/>
        <v>707448.60512403422</v>
      </c>
      <c r="J35" s="70">
        <f t="shared" si="15"/>
        <v>707448.60512403422</v>
      </c>
      <c r="K35" s="70">
        <f t="shared" si="15"/>
        <v>707448.60512403422</v>
      </c>
      <c r="L35" s="70">
        <f t="shared" si="15"/>
        <v>707448.60512403422</v>
      </c>
      <c r="M35" s="70">
        <f t="shared" si="15"/>
        <v>707448.60512403422</v>
      </c>
      <c r="N35" s="70">
        <f t="shared" si="15"/>
        <v>707448.60512403422</v>
      </c>
      <c r="O35" s="70">
        <f t="shared" si="15"/>
        <v>707448.60512403422</v>
      </c>
      <c r="P35" s="63"/>
    </row>
    <row r="36" spans="1:18" ht="4.5" customHeight="1">
      <c r="A36" s="42"/>
      <c r="B36" s="5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63"/>
    </row>
    <row r="37" spans="1:18">
      <c r="A37" s="42">
        <f>A35+1</f>
        <v>25</v>
      </c>
      <c r="B37" s="45" t="s">
        <v>98</v>
      </c>
      <c r="C37" s="71" t="s">
        <v>10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63"/>
    </row>
    <row r="38" spans="1:18">
      <c r="A38" s="42">
        <f>A37+1</f>
        <v>26</v>
      </c>
      <c r="B38" s="61" t="s">
        <v>99</v>
      </c>
      <c r="C38" s="72">
        <v>1.75E-3</v>
      </c>
      <c r="D38" s="46">
        <f>AVERAGE(C35:D35)*($C38*D$23/360)*1000</f>
        <v>103169.58824725499</v>
      </c>
      <c r="E38" s="46">
        <f>AVERAGE(D35:E35)*($C38*E$23/360)*1000</f>
        <v>106608.5745221635</v>
      </c>
      <c r="F38" s="46">
        <f t="shared" ref="F38:O38" si="16">AVERAGE(E35:F35)*($C38*F$23/360)*1000</f>
        <v>103169.58824725499</v>
      </c>
      <c r="G38" s="46">
        <f t="shared" si="16"/>
        <v>106608.5745221635</v>
      </c>
      <c r="H38" s="46">
        <f t="shared" si="16"/>
        <v>106608.5745221635</v>
      </c>
      <c r="I38" s="46">
        <f t="shared" si="16"/>
        <v>103169.58824725499</v>
      </c>
      <c r="J38" s="46">
        <f t="shared" si="16"/>
        <v>106608.5745221635</v>
      </c>
      <c r="K38" s="46">
        <f t="shared" si="16"/>
        <v>103169.58824725499</v>
      </c>
      <c r="L38" s="46">
        <f t="shared" si="16"/>
        <v>106608.5745221635</v>
      </c>
      <c r="M38" s="46">
        <f t="shared" si="16"/>
        <v>106608.5745221635</v>
      </c>
      <c r="N38" s="46">
        <f t="shared" si="16"/>
        <v>96291.615697437999</v>
      </c>
      <c r="O38" s="46">
        <f t="shared" si="16"/>
        <v>106608.5745221635</v>
      </c>
      <c r="P38" s="47">
        <f>SUM(D38:O38)</f>
        <v>1255229.9903416024</v>
      </c>
    </row>
    <row r="39" spans="1:18" ht="12.6" thickBot="1">
      <c r="A39" s="42">
        <f>A38+1</f>
        <v>27</v>
      </c>
      <c r="B39" s="65" t="s">
        <v>100</v>
      </c>
      <c r="C39" s="73"/>
      <c r="D39" s="74">
        <f t="shared" ref="D39:O39" si="17">SUM(D38:D38)</f>
        <v>103169.58824725499</v>
      </c>
      <c r="E39" s="74">
        <f t="shared" si="17"/>
        <v>106608.5745221635</v>
      </c>
      <c r="F39" s="74">
        <f t="shared" si="17"/>
        <v>103169.58824725499</v>
      </c>
      <c r="G39" s="74">
        <f t="shared" si="17"/>
        <v>106608.5745221635</v>
      </c>
      <c r="H39" s="74">
        <f t="shared" si="17"/>
        <v>106608.5745221635</v>
      </c>
      <c r="I39" s="74">
        <f t="shared" si="17"/>
        <v>103169.58824725499</v>
      </c>
      <c r="J39" s="74">
        <f t="shared" si="17"/>
        <v>106608.5745221635</v>
      </c>
      <c r="K39" s="74">
        <f t="shared" si="17"/>
        <v>103169.58824725499</v>
      </c>
      <c r="L39" s="74">
        <f t="shared" si="17"/>
        <v>106608.5745221635</v>
      </c>
      <c r="M39" s="74">
        <f t="shared" si="17"/>
        <v>106608.5745221635</v>
      </c>
      <c r="N39" s="74">
        <f t="shared" si="17"/>
        <v>96291.615697437999</v>
      </c>
      <c r="O39" s="74">
        <f t="shared" si="17"/>
        <v>106608.5745221635</v>
      </c>
      <c r="P39" s="67">
        <f>SUM(D39:O39)</f>
        <v>1255229.9903416024</v>
      </c>
      <c r="R39" s="58"/>
    </row>
    <row r="40" spans="1:18" ht="6" customHeight="1" thickTop="1">
      <c r="A40" s="42"/>
      <c r="B40" s="75"/>
      <c r="C40" s="76"/>
      <c r="D40" s="76"/>
      <c r="E40" s="76"/>
      <c r="F40" s="76"/>
      <c r="G40" s="76"/>
      <c r="H40" s="40"/>
      <c r="I40" s="40"/>
      <c r="J40" s="40"/>
      <c r="K40" s="40"/>
      <c r="L40" s="40"/>
      <c r="M40" s="40"/>
      <c r="N40" s="40"/>
      <c r="O40" s="40"/>
      <c r="P40" s="40"/>
    </row>
    <row r="41" spans="1:18" ht="12" customHeight="1">
      <c r="A41" s="42">
        <f>A39+1</f>
        <v>28</v>
      </c>
      <c r="B41" s="45" t="s">
        <v>101</v>
      </c>
      <c r="C41" s="77">
        <v>0.01</v>
      </c>
      <c r="D41" s="76"/>
      <c r="E41" s="76"/>
      <c r="F41" s="76"/>
      <c r="G41" s="76"/>
      <c r="H41" s="40"/>
      <c r="I41" s="40"/>
      <c r="J41" s="40"/>
      <c r="K41" s="40"/>
      <c r="L41" s="40"/>
      <c r="M41" s="40"/>
      <c r="N41" s="40"/>
      <c r="O41" s="40"/>
      <c r="P41" s="40"/>
    </row>
    <row r="42" spans="1:18" ht="12" customHeight="1">
      <c r="A42" s="42">
        <f>A41+1</f>
        <v>29</v>
      </c>
      <c r="B42" s="48" t="s">
        <v>102</v>
      </c>
      <c r="C42" s="46"/>
      <c r="D42" s="46">
        <v>0</v>
      </c>
      <c r="E42" s="46">
        <f t="shared" ref="E42:O42" si="18">D42</f>
        <v>0</v>
      </c>
      <c r="F42" s="46">
        <f t="shared" si="18"/>
        <v>0</v>
      </c>
      <c r="G42" s="46">
        <f t="shared" si="18"/>
        <v>0</v>
      </c>
      <c r="H42" s="46">
        <f t="shared" si="18"/>
        <v>0</v>
      </c>
      <c r="I42" s="46">
        <f t="shared" si="18"/>
        <v>0</v>
      </c>
      <c r="J42" s="46">
        <f t="shared" si="18"/>
        <v>0</v>
      </c>
      <c r="K42" s="46">
        <f t="shared" si="18"/>
        <v>0</v>
      </c>
      <c r="L42" s="46">
        <f t="shared" si="18"/>
        <v>0</v>
      </c>
      <c r="M42" s="46">
        <f t="shared" si="18"/>
        <v>0</v>
      </c>
      <c r="N42" s="46">
        <f t="shared" si="18"/>
        <v>0</v>
      </c>
      <c r="O42" s="46">
        <f t="shared" si="18"/>
        <v>0</v>
      </c>
      <c r="P42" s="47"/>
    </row>
    <row r="43" spans="1:18" ht="12" customHeight="1">
      <c r="A43" s="42">
        <f>A42+1</f>
        <v>30</v>
      </c>
      <c r="B43" s="48" t="s">
        <v>103</v>
      </c>
      <c r="C43" s="46"/>
      <c r="D43" s="46">
        <f>2814013/1000</f>
        <v>2814.0129999999999</v>
      </c>
      <c r="E43" s="46">
        <f>$D$43</f>
        <v>2814.0129999999999</v>
      </c>
      <c r="F43" s="46">
        <f>$D$43</f>
        <v>2814.0129999999999</v>
      </c>
      <c r="G43" s="46">
        <f>2654750/1000</f>
        <v>2654.75</v>
      </c>
      <c r="H43" s="46">
        <f>$G$43</f>
        <v>2654.75</v>
      </c>
      <c r="I43" s="46">
        <f t="shared" ref="I43:O43" si="19">$G$43</f>
        <v>2654.75</v>
      </c>
      <c r="J43" s="46">
        <f t="shared" si="19"/>
        <v>2654.75</v>
      </c>
      <c r="K43" s="46">
        <f t="shared" si="19"/>
        <v>2654.75</v>
      </c>
      <c r="L43" s="46">
        <f t="shared" si="19"/>
        <v>2654.75</v>
      </c>
      <c r="M43" s="46">
        <f t="shared" si="19"/>
        <v>2654.75</v>
      </c>
      <c r="N43" s="46">
        <f t="shared" si="19"/>
        <v>2654.75</v>
      </c>
      <c r="O43" s="46">
        <f t="shared" si="19"/>
        <v>2654.75</v>
      </c>
      <c r="P43" s="47"/>
    </row>
    <row r="44" spans="1:18" ht="12" customHeight="1" thickBot="1">
      <c r="A44" s="42">
        <f>A43+1</f>
        <v>31</v>
      </c>
      <c r="B44" s="65" t="s">
        <v>156</v>
      </c>
      <c r="C44" s="77">
        <v>0.01</v>
      </c>
      <c r="D44" s="74">
        <f>D42*($C41*D$23/360)*1000+D43*($C44*D$23/360)*1000</f>
        <v>2345.0108333333333</v>
      </c>
      <c r="E44" s="74">
        <f t="shared" ref="E44:O44" si="20">E42*($C41*E$23/360)*1000+E43*($C44*E$23/360)*1000</f>
        <v>2423.1778611111113</v>
      </c>
      <c r="F44" s="74">
        <f t="shared" si="20"/>
        <v>2345.0108333333333</v>
      </c>
      <c r="G44" s="74">
        <f t="shared" si="20"/>
        <v>2286.0347222222222</v>
      </c>
      <c r="H44" s="74">
        <f t="shared" si="20"/>
        <v>2286.0347222222222</v>
      </c>
      <c r="I44" s="74">
        <f t="shared" si="20"/>
        <v>2212.2916666666665</v>
      </c>
      <c r="J44" s="74">
        <f t="shared" si="20"/>
        <v>2286.0347222222222</v>
      </c>
      <c r="K44" s="74">
        <f t="shared" si="20"/>
        <v>2212.2916666666665</v>
      </c>
      <c r="L44" s="74">
        <f t="shared" si="20"/>
        <v>2286.0347222222222</v>
      </c>
      <c r="M44" s="74">
        <f t="shared" si="20"/>
        <v>2286.0347222222222</v>
      </c>
      <c r="N44" s="74">
        <f t="shared" si="20"/>
        <v>2064.8055555555557</v>
      </c>
      <c r="O44" s="74">
        <f t="shared" si="20"/>
        <v>2286.0347222222222</v>
      </c>
      <c r="P44" s="67">
        <f>SUM(D44:O44)</f>
        <v>27318.796750000001</v>
      </c>
      <c r="R44" s="58"/>
    </row>
    <row r="45" spans="1:18" ht="12.75" customHeight="1" thickTop="1">
      <c r="A45" s="42"/>
      <c r="B45" s="65"/>
      <c r="C45" s="78"/>
      <c r="D45" s="46"/>
      <c r="E45" s="46"/>
      <c r="F45" s="79"/>
      <c r="G45" s="46"/>
      <c r="H45" s="46"/>
      <c r="I45" s="46"/>
      <c r="J45" s="46"/>
      <c r="K45" s="46"/>
      <c r="L45" s="46"/>
      <c r="M45" s="46"/>
      <c r="N45" s="46"/>
      <c r="O45" s="80" t="s">
        <v>104</v>
      </c>
      <c r="P45" s="47">
        <f>P39+P44</f>
        <v>1282548.7870916023</v>
      </c>
      <c r="R45" s="58"/>
    </row>
    <row r="46" spans="1:18" ht="12.75" customHeight="1">
      <c r="A46" s="42"/>
      <c r="B46" s="65"/>
      <c r="C46" s="78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80" t="s">
        <v>116</v>
      </c>
      <c r="P46" s="47">
        <f>'Pg 2 Cost of Total Debt'!H38</f>
        <v>7978568523.7901583</v>
      </c>
      <c r="R46" s="58"/>
    </row>
    <row r="47" spans="1:18" ht="12.75" customHeight="1">
      <c r="A47" s="42"/>
      <c r="B47" s="65"/>
      <c r="C47" s="7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80" t="s">
        <v>105</v>
      </c>
      <c r="P47" s="81">
        <f>ROUND(P45/P46,4)</f>
        <v>2.0000000000000001E-4</v>
      </c>
      <c r="R47" s="58"/>
    </row>
    <row r="48" spans="1:18" ht="12" customHeight="1">
      <c r="A48" s="42"/>
      <c r="B48" s="65"/>
      <c r="C48" s="78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81"/>
      <c r="R48" s="58"/>
    </row>
    <row r="49" spans="1:18" ht="6" customHeight="1">
      <c r="A49" s="42"/>
      <c r="B49" s="75"/>
      <c r="C49" s="76"/>
      <c r="D49" s="76"/>
      <c r="E49" s="76"/>
      <c r="F49" s="76"/>
      <c r="G49" s="76"/>
      <c r="H49" s="40"/>
      <c r="I49" s="40"/>
      <c r="J49" s="40"/>
      <c r="K49" s="40"/>
      <c r="L49" s="40"/>
      <c r="M49" s="40"/>
      <c r="N49" s="40"/>
      <c r="O49" s="40"/>
      <c r="P49" s="40"/>
    </row>
    <row r="50" spans="1:18">
      <c r="A50" s="42">
        <f>A44+1</f>
        <v>32</v>
      </c>
      <c r="B50" s="45" t="s">
        <v>133</v>
      </c>
      <c r="C50" s="76"/>
      <c r="D50" s="76"/>
      <c r="E50" s="76"/>
      <c r="F50" s="76"/>
      <c r="G50" s="76"/>
      <c r="H50" s="40"/>
      <c r="I50" s="40"/>
      <c r="J50" s="40"/>
      <c r="K50" s="40"/>
      <c r="L50" s="40"/>
      <c r="M50" s="40"/>
      <c r="N50" s="40"/>
      <c r="O50" s="40"/>
      <c r="P50" s="40"/>
    </row>
    <row r="51" spans="1:18">
      <c r="A51" s="42">
        <f t="shared" ref="A51:A57" si="21">A50+1</f>
        <v>33</v>
      </c>
      <c r="B51" s="61" t="s">
        <v>139</v>
      </c>
      <c r="C51" s="76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7">
        <f t="shared" ref="P51:P57" si="22">SUM(D51:O51)</f>
        <v>0</v>
      </c>
      <c r="R51" s="73"/>
    </row>
    <row r="52" spans="1:18">
      <c r="A52" s="42">
        <f t="shared" si="21"/>
        <v>34</v>
      </c>
      <c r="B52" s="61" t="s">
        <v>140</v>
      </c>
      <c r="C52" s="76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7">
        <f t="shared" si="22"/>
        <v>0</v>
      </c>
    </row>
    <row r="53" spans="1:18">
      <c r="A53" s="42">
        <f t="shared" si="21"/>
        <v>35</v>
      </c>
      <c r="B53" s="61" t="s">
        <v>141</v>
      </c>
      <c r="C53" s="76"/>
      <c r="D53" s="46">
        <v>10211.44</v>
      </c>
      <c r="E53" s="46">
        <v>10211.44</v>
      </c>
      <c r="F53" s="46">
        <v>10211.44</v>
      </c>
      <c r="G53" s="46">
        <v>10211.44</v>
      </c>
      <c r="H53" s="46">
        <v>10211.44</v>
      </c>
      <c r="I53" s="46">
        <v>10211.44</v>
      </c>
      <c r="J53" s="46">
        <v>10211.44</v>
      </c>
      <c r="K53" s="46">
        <v>10211.44</v>
      </c>
      <c r="L53" s="46">
        <v>10211.44</v>
      </c>
      <c r="M53" s="46">
        <v>10211.44</v>
      </c>
      <c r="N53" s="46">
        <v>10211.44</v>
      </c>
      <c r="O53" s="46">
        <v>10211.44</v>
      </c>
      <c r="P53" s="47">
        <f t="shared" si="22"/>
        <v>122537.28000000001</v>
      </c>
    </row>
    <row r="54" spans="1:18">
      <c r="A54" s="42">
        <f t="shared" si="21"/>
        <v>36</v>
      </c>
      <c r="B54" s="61" t="s">
        <v>142</v>
      </c>
      <c r="C54" s="76"/>
      <c r="D54" s="46">
        <v>2285.1</v>
      </c>
      <c r="E54" s="46">
        <v>2285.1</v>
      </c>
      <c r="F54" s="46">
        <v>2285.1</v>
      </c>
      <c r="G54" s="46">
        <v>2285.1</v>
      </c>
      <c r="H54" s="46">
        <v>2285.1</v>
      </c>
      <c r="I54" s="46">
        <v>2285.1</v>
      </c>
      <c r="J54" s="46">
        <v>2285.1</v>
      </c>
      <c r="K54" s="46">
        <v>2285.1</v>
      </c>
      <c r="L54" s="46">
        <v>2285.1</v>
      </c>
      <c r="M54" s="46">
        <v>2285.1</v>
      </c>
      <c r="N54" s="46">
        <v>2285.1</v>
      </c>
      <c r="O54" s="46">
        <v>2285.1</v>
      </c>
      <c r="P54" s="47">
        <f t="shared" si="22"/>
        <v>27421.199999999993</v>
      </c>
    </row>
    <row r="55" spans="1:18">
      <c r="A55" s="42">
        <f t="shared" si="21"/>
        <v>37</v>
      </c>
      <c r="B55" s="61" t="s">
        <v>143</v>
      </c>
      <c r="C55" s="76"/>
      <c r="D55" s="46">
        <v>46204.63</v>
      </c>
      <c r="E55" s="46">
        <v>46204.63</v>
      </c>
      <c r="F55" s="46">
        <v>46204.63</v>
      </c>
      <c r="G55" s="46">
        <v>46204.63</v>
      </c>
      <c r="H55" s="46">
        <v>46204.63</v>
      </c>
      <c r="I55" s="46">
        <v>46204.63</v>
      </c>
      <c r="J55" s="46">
        <v>46204.63</v>
      </c>
      <c r="K55" s="46">
        <v>46204.63</v>
      </c>
      <c r="L55" s="46">
        <v>46204.63</v>
      </c>
      <c r="M55" s="46">
        <v>46204.63</v>
      </c>
      <c r="N55" s="46">
        <v>46204.63</v>
      </c>
      <c r="O55" s="46">
        <v>46204.63</v>
      </c>
      <c r="P55" s="47">
        <f t="shared" si="22"/>
        <v>554455.55999999994</v>
      </c>
    </row>
    <row r="56" spans="1:18">
      <c r="A56" s="42">
        <f t="shared" si="21"/>
        <v>38</v>
      </c>
      <c r="B56" s="61" t="s">
        <v>144</v>
      </c>
      <c r="C56" s="76"/>
      <c r="D56" s="46">
        <v>1580.06</v>
      </c>
      <c r="E56" s="46">
        <v>1580.06</v>
      </c>
      <c r="F56" s="46">
        <v>1580.06</v>
      </c>
      <c r="G56" s="46">
        <v>1580.06</v>
      </c>
      <c r="H56" s="46">
        <v>1580.06</v>
      </c>
      <c r="I56" s="46">
        <v>1580.06</v>
      </c>
      <c r="J56" s="46">
        <v>1580.06</v>
      </c>
      <c r="K56" s="46">
        <v>1580.06</v>
      </c>
      <c r="L56" s="46">
        <v>1580.06</v>
      </c>
      <c r="M56" s="46">
        <v>1580.06</v>
      </c>
      <c r="N56" s="46">
        <v>1580.06</v>
      </c>
      <c r="O56" s="46">
        <v>1580.06</v>
      </c>
      <c r="P56" s="47">
        <f t="shared" si="22"/>
        <v>18960.719999999998</v>
      </c>
    </row>
    <row r="57" spans="1:18" ht="12" customHeight="1" thickBot="1">
      <c r="A57" s="42">
        <f t="shared" si="21"/>
        <v>39</v>
      </c>
      <c r="B57" s="65" t="s">
        <v>106</v>
      </c>
      <c r="C57" s="76"/>
      <c r="D57" s="82">
        <f>SUM(D51:D56)</f>
        <v>60281.229999999996</v>
      </c>
      <c r="E57" s="82">
        <f t="shared" ref="E57:O57" si="23">SUM(E51:E56)</f>
        <v>60281.229999999996</v>
      </c>
      <c r="F57" s="82">
        <f t="shared" si="23"/>
        <v>60281.229999999996</v>
      </c>
      <c r="G57" s="82">
        <f t="shared" si="23"/>
        <v>60281.229999999996</v>
      </c>
      <c r="H57" s="82">
        <f t="shared" si="23"/>
        <v>60281.229999999996</v>
      </c>
      <c r="I57" s="82">
        <f t="shared" si="23"/>
        <v>60281.229999999996</v>
      </c>
      <c r="J57" s="82">
        <f t="shared" si="23"/>
        <v>60281.229999999996</v>
      </c>
      <c r="K57" s="82">
        <f t="shared" si="23"/>
        <v>60281.229999999996</v>
      </c>
      <c r="L57" s="82">
        <f t="shared" si="23"/>
        <v>60281.229999999996</v>
      </c>
      <c r="M57" s="82">
        <f t="shared" si="23"/>
        <v>60281.229999999996</v>
      </c>
      <c r="N57" s="82">
        <f t="shared" si="23"/>
        <v>60281.229999999996</v>
      </c>
      <c r="O57" s="82">
        <f t="shared" si="23"/>
        <v>60281.229999999996</v>
      </c>
      <c r="P57" s="67">
        <f t="shared" si="22"/>
        <v>723374.75999999989</v>
      </c>
      <c r="R57" s="58"/>
    </row>
    <row r="58" spans="1:18" ht="12" customHeight="1" thickTop="1">
      <c r="A58" s="42"/>
      <c r="B58" s="65"/>
      <c r="C58" s="7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0" t="s">
        <v>116</v>
      </c>
      <c r="P58" s="47">
        <f>'Pg 2 Cost of Total Debt'!$H$38</f>
        <v>7978568523.7901583</v>
      </c>
      <c r="R58" s="58"/>
    </row>
    <row r="59" spans="1:18" ht="12" customHeight="1">
      <c r="A59" s="42"/>
      <c r="B59" s="65"/>
      <c r="C59" s="76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0" t="s">
        <v>107</v>
      </c>
      <c r="P59" s="81">
        <f>ROUND(P57/P58,4)</f>
        <v>1E-4</v>
      </c>
      <c r="R59" s="58"/>
    </row>
    <row r="60" spans="1:18" ht="12" customHeight="1">
      <c r="A60" s="42"/>
      <c r="P60" s="84"/>
    </row>
    <row r="61" spans="1:18" ht="12" customHeight="1">
      <c r="A61" s="42">
        <f>A57+1</f>
        <v>40</v>
      </c>
      <c r="B61" s="45" t="s">
        <v>157</v>
      </c>
    </row>
    <row r="62" spans="1:18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</sheetData>
  <mergeCells count="3">
    <mergeCell ref="A1:P1"/>
    <mergeCell ref="A2:P2"/>
    <mergeCell ref="A3:P3"/>
  </mergeCells>
  <printOptions horizontalCentered="1"/>
  <pageMargins left="0.27" right="0.23" top="1" bottom="0.75" header="0.5" footer="0.5"/>
  <pageSetup scale="71" orientation="landscape" r:id="rId1"/>
  <headerFooter scaleWithDoc="0" alignWithMargins="0">
    <oddFooter>&amp;R&amp;"Times New Roman,Regular"&amp;12Exh. MDM-5
Page 3 of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N54"/>
  <sheetViews>
    <sheetView view="pageBreakPreview" zoomScale="90" zoomScaleNormal="100" zoomScaleSheetLayoutView="90" workbookViewId="0">
      <selection sqref="A1:XFD1048576"/>
    </sheetView>
  </sheetViews>
  <sheetFormatPr defaultColWidth="8.7109375" defaultRowHeight="15.6"/>
  <cols>
    <col min="1" max="1" width="4.7109375" style="3" customWidth="1"/>
    <col min="2" max="2" width="46" style="3" customWidth="1"/>
    <col min="3" max="3" width="10.7109375" style="3" customWidth="1"/>
    <col min="4" max="4" width="11.7109375" style="3" customWidth="1"/>
    <col min="5" max="5" width="12.7109375" style="3" customWidth="1"/>
    <col min="6" max="6" width="15.7109375" style="3" customWidth="1"/>
    <col min="7" max="7" width="13" style="3" customWidth="1"/>
    <col min="8" max="10" width="13.7109375" style="3" customWidth="1"/>
    <col min="11" max="11" width="16.140625" style="3" bestFit="1" customWidth="1"/>
    <col min="12" max="12" width="6.28515625" style="3" customWidth="1"/>
    <col min="13" max="13" width="10.42578125" style="3" bestFit="1" customWidth="1"/>
    <col min="14" max="14" width="9.140625" style="3" bestFit="1" customWidth="1"/>
    <col min="15" max="16384" width="8.7109375" style="3"/>
  </cols>
  <sheetData>
    <row r="1" spans="1:14" ht="12.75" customHeight="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"/>
    </row>
    <row r="2" spans="1:14" ht="12.75" customHeight="1">
      <c r="A2" s="255" t="s">
        <v>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"/>
    </row>
    <row r="3" spans="1:14" ht="12.75" customHeight="1">
      <c r="A3" s="255" t="str">
        <f>'Pg 2 Cost of Total Debt'!$A$3</f>
        <v>For The 12 Months Ended March 31, 2021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"/>
    </row>
    <row r="4" spans="1:14" ht="12.75" customHeight="1">
      <c r="B4" s="4"/>
      <c r="C4" s="4"/>
      <c r="D4" s="4"/>
      <c r="E4" s="5"/>
      <c r="F4" s="5"/>
      <c r="G4" s="5"/>
      <c r="H4" s="5"/>
      <c r="I4" s="5"/>
      <c r="J4" s="5"/>
      <c r="K4" s="5"/>
      <c r="L4" s="2"/>
    </row>
    <row r="5" spans="1:14" ht="12.75" customHeight="1">
      <c r="A5" s="6">
        <v>1</v>
      </c>
      <c r="B5" s="7" t="s">
        <v>1</v>
      </c>
      <c r="C5" s="7" t="s">
        <v>16</v>
      </c>
      <c r="D5" s="7" t="s">
        <v>26</v>
      </c>
      <c r="E5" s="7" t="s">
        <v>28</v>
      </c>
      <c r="F5" s="7" t="s">
        <v>29</v>
      </c>
      <c r="G5" s="8" t="s">
        <v>30</v>
      </c>
      <c r="H5" s="7" t="s">
        <v>31</v>
      </c>
      <c r="I5" s="7" t="s">
        <v>32</v>
      </c>
      <c r="J5" s="7" t="s">
        <v>33</v>
      </c>
      <c r="K5" s="7" t="s">
        <v>35</v>
      </c>
      <c r="L5" s="2"/>
    </row>
    <row r="6" spans="1:14" ht="12.75" customHeight="1">
      <c r="A6" s="6">
        <f t="shared" ref="A6:A35" si="0">A5+1</f>
        <v>2</v>
      </c>
      <c r="B6" s="9" t="s">
        <v>0</v>
      </c>
      <c r="C6" s="10" t="s">
        <v>8</v>
      </c>
      <c r="D6" s="11" t="s">
        <v>46</v>
      </c>
      <c r="E6" s="12" t="s">
        <v>57</v>
      </c>
      <c r="F6" s="12" t="s">
        <v>58</v>
      </c>
      <c r="G6" s="12" t="s">
        <v>58</v>
      </c>
      <c r="H6" s="12" t="s">
        <v>34</v>
      </c>
      <c r="I6" s="11" t="s">
        <v>70</v>
      </c>
      <c r="J6" s="12" t="s">
        <v>71</v>
      </c>
      <c r="K6" s="11" t="s">
        <v>9</v>
      </c>
      <c r="L6" s="2"/>
    </row>
    <row r="7" spans="1:14" ht="12.75" customHeight="1">
      <c r="A7" s="6">
        <f t="shared" si="0"/>
        <v>3</v>
      </c>
      <c r="B7" s="13" t="s">
        <v>8</v>
      </c>
      <c r="C7" s="14" t="s">
        <v>47</v>
      </c>
      <c r="D7" s="14" t="s">
        <v>47</v>
      </c>
      <c r="E7" s="14" t="s">
        <v>47</v>
      </c>
      <c r="F7" s="14" t="s">
        <v>8</v>
      </c>
      <c r="G7" s="14" t="s">
        <v>47</v>
      </c>
      <c r="H7" s="14" t="s">
        <v>59</v>
      </c>
      <c r="I7" s="15" t="s">
        <v>56</v>
      </c>
      <c r="J7" s="14" t="s">
        <v>72</v>
      </c>
      <c r="K7" s="14" t="s">
        <v>56</v>
      </c>
      <c r="L7" s="2"/>
    </row>
    <row r="8" spans="1:14" ht="12.75" customHeight="1">
      <c r="A8" s="6">
        <f t="shared" si="0"/>
        <v>4</v>
      </c>
      <c r="B8" s="16"/>
      <c r="C8" s="17"/>
      <c r="D8" s="17"/>
      <c r="E8" s="17"/>
      <c r="F8" s="17"/>
      <c r="G8" s="17"/>
      <c r="H8" s="18"/>
      <c r="I8" s="18"/>
      <c r="J8" s="18"/>
      <c r="K8" s="19"/>
    </row>
    <row r="9" spans="1:14" ht="12.75" customHeight="1">
      <c r="A9" s="6">
        <f>A8+1</f>
        <v>5</v>
      </c>
      <c r="B9" s="16" t="s">
        <v>54</v>
      </c>
      <c r="C9" s="17">
        <v>33410</v>
      </c>
      <c r="D9" s="17">
        <v>37063</v>
      </c>
      <c r="E9" s="17">
        <v>35961</v>
      </c>
      <c r="F9" s="17" t="s">
        <v>50</v>
      </c>
      <c r="G9" s="17">
        <v>35961</v>
      </c>
      <c r="H9" s="18">
        <v>43266</v>
      </c>
      <c r="I9" s="20">
        <v>291.57</v>
      </c>
      <c r="J9" s="21">
        <v>6</v>
      </c>
      <c r="K9" s="20">
        <f>ROUND(I9*J9,2)</f>
        <v>1749.42</v>
      </c>
      <c r="M9" s="20"/>
      <c r="N9" s="22"/>
    </row>
    <row r="10" spans="1:14" ht="12.75" customHeight="1">
      <c r="A10" s="6">
        <f t="shared" si="0"/>
        <v>6</v>
      </c>
      <c r="B10" s="23" t="s">
        <v>24</v>
      </c>
      <c r="C10" s="17">
        <v>33616</v>
      </c>
      <c r="D10" s="17">
        <f>DATE(2022,1,12)</f>
        <v>44573</v>
      </c>
      <c r="E10" s="24">
        <v>37701</v>
      </c>
      <c r="F10" s="24"/>
      <c r="G10" s="24"/>
      <c r="H10" s="18">
        <f>DATE(2022,1,12)</f>
        <v>44573</v>
      </c>
      <c r="I10" s="20">
        <v>95.089999999999989</v>
      </c>
      <c r="J10" s="21">
        <v>12</v>
      </c>
      <c r="K10" s="20">
        <f t="shared" ref="K10:K26" si="1">ROUND(I10*J10,2)</f>
        <v>1141.08</v>
      </c>
      <c r="M10" s="20"/>
      <c r="N10" s="22"/>
    </row>
    <row r="11" spans="1:14" ht="12.75" customHeight="1">
      <c r="A11" s="6">
        <f t="shared" si="0"/>
        <v>7</v>
      </c>
      <c r="B11" s="23" t="s">
        <v>25</v>
      </c>
      <c r="C11" s="17">
        <v>33616</v>
      </c>
      <c r="D11" s="17">
        <f>DATE(2022,1,13)</f>
        <v>44574</v>
      </c>
      <c r="E11" s="24">
        <v>37701</v>
      </c>
      <c r="F11" s="24"/>
      <c r="G11" s="24"/>
      <c r="H11" s="18">
        <f>DATE(2022,1,13)</f>
        <v>44574</v>
      </c>
      <c r="I11" s="20">
        <v>221.88</v>
      </c>
      <c r="J11" s="21">
        <v>12</v>
      </c>
      <c r="K11" s="20">
        <f t="shared" si="1"/>
        <v>2662.56</v>
      </c>
      <c r="L11" s="25"/>
      <c r="M11" s="20"/>
    </row>
    <row r="12" spans="1:14" ht="12.75" customHeight="1">
      <c r="A12" s="6">
        <f t="shared" si="0"/>
        <v>8</v>
      </c>
      <c r="B12" s="23" t="s">
        <v>49</v>
      </c>
      <c r="C12" s="17">
        <v>33828</v>
      </c>
      <c r="D12" s="17">
        <v>44785</v>
      </c>
      <c r="E12" s="24">
        <v>37770</v>
      </c>
      <c r="F12" s="24"/>
      <c r="G12" s="24"/>
      <c r="H12" s="18">
        <v>44785</v>
      </c>
      <c r="I12" s="20">
        <v>5207.1400000000003</v>
      </c>
      <c r="J12" s="21">
        <v>12</v>
      </c>
      <c r="K12" s="20">
        <f t="shared" si="1"/>
        <v>62485.68</v>
      </c>
      <c r="M12" s="20"/>
    </row>
    <row r="13" spans="1:14" ht="12.75" customHeight="1">
      <c r="A13" s="6">
        <f t="shared" si="0"/>
        <v>9</v>
      </c>
      <c r="B13" s="23" t="s">
        <v>60</v>
      </c>
      <c r="C13" s="17">
        <v>34199</v>
      </c>
      <c r="D13" s="17">
        <v>45156</v>
      </c>
      <c r="E13" s="24">
        <v>37851</v>
      </c>
      <c r="H13" s="18">
        <v>45156</v>
      </c>
      <c r="I13" s="20">
        <v>887.99000000000012</v>
      </c>
      <c r="J13" s="21">
        <v>12</v>
      </c>
      <c r="K13" s="20">
        <f t="shared" si="1"/>
        <v>10655.88</v>
      </c>
      <c r="L13" s="25"/>
      <c r="M13" s="20"/>
    </row>
    <row r="14" spans="1:14" ht="12.75" customHeight="1">
      <c r="A14" s="6">
        <f t="shared" si="0"/>
        <v>10</v>
      </c>
      <c r="B14" s="16" t="s">
        <v>55</v>
      </c>
      <c r="C14" s="17">
        <v>33161</v>
      </c>
      <c r="D14" s="17">
        <v>35718</v>
      </c>
      <c r="E14" s="17">
        <v>34372</v>
      </c>
      <c r="F14" s="17" t="s">
        <v>51</v>
      </c>
      <c r="G14" s="17">
        <v>34366</v>
      </c>
      <c r="H14" s="18">
        <v>45323</v>
      </c>
      <c r="I14" s="20">
        <v>14073.339999999998</v>
      </c>
      <c r="J14" s="21">
        <v>12</v>
      </c>
      <c r="K14" s="20">
        <f t="shared" si="1"/>
        <v>168880.08</v>
      </c>
      <c r="M14" s="20"/>
    </row>
    <row r="15" spans="1:14" ht="12.75" customHeight="1">
      <c r="A15" s="6">
        <f t="shared" si="0"/>
        <v>11</v>
      </c>
      <c r="B15" s="16" t="s">
        <v>48</v>
      </c>
      <c r="C15" s="17">
        <v>35587</v>
      </c>
      <c r="D15" s="17">
        <v>46539</v>
      </c>
      <c r="E15" s="17">
        <v>38504</v>
      </c>
      <c r="F15" s="17"/>
      <c r="G15" s="17"/>
      <c r="H15" s="18">
        <v>46539</v>
      </c>
      <c r="I15" s="20">
        <v>19150.350000000002</v>
      </c>
      <c r="J15" s="21">
        <v>12</v>
      </c>
      <c r="K15" s="20">
        <f t="shared" si="1"/>
        <v>229804.2</v>
      </c>
      <c r="M15" s="20"/>
    </row>
    <row r="16" spans="1:14" ht="12.75" customHeight="1">
      <c r="A16" s="6">
        <f t="shared" si="0"/>
        <v>12</v>
      </c>
      <c r="B16" s="23" t="s">
        <v>20</v>
      </c>
      <c r="C16" s="17">
        <v>33457</v>
      </c>
      <c r="D16" s="17">
        <f>DATE(2021,8,1)</f>
        <v>44409</v>
      </c>
      <c r="E16" s="24">
        <v>37691</v>
      </c>
      <c r="F16" s="24" t="s">
        <v>52</v>
      </c>
      <c r="G16" s="24">
        <v>37691</v>
      </c>
      <c r="H16" s="18">
        <v>47908</v>
      </c>
      <c r="I16" s="20">
        <v>3790.0400000000004</v>
      </c>
      <c r="J16" s="21">
        <v>12</v>
      </c>
      <c r="K16" s="20">
        <f t="shared" si="1"/>
        <v>45480.480000000003</v>
      </c>
      <c r="M16" s="20"/>
    </row>
    <row r="17" spans="1:13" ht="12.75" customHeight="1">
      <c r="A17" s="6">
        <f t="shared" si="0"/>
        <v>13</v>
      </c>
      <c r="B17" s="23" t="s">
        <v>21</v>
      </c>
      <c r="C17" s="17">
        <v>33457</v>
      </c>
      <c r="D17" s="17">
        <f>DATE(2021,8,1)</f>
        <v>44409</v>
      </c>
      <c r="E17" s="24">
        <v>37691</v>
      </c>
      <c r="F17" s="24" t="s">
        <v>52</v>
      </c>
      <c r="G17" s="24">
        <v>37691</v>
      </c>
      <c r="H17" s="18">
        <v>47908</v>
      </c>
      <c r="I17" s="20">
        <v>2880.1200000000003</v>
      </c>
      <c r="J17" s="21">
        <v>12</v>
      </c>
      <c r="K17" s="20">
        <f t="shared" si="1"/>
        <v>34561.440000000002</v>
      </c>
      <c r="M17" s="20"/>
    </row>
    <row r="18" spans="1:13" ht="12.75" customHeight="1">
      <c r="A18" s="6">
        <f t="shared" si="0"/>
        <v>14</v>
      </c>
      <c r="B18" s="23" t="s">
        <v>22</v>
      </c>
      <c r="C18" s="17">
        <v>33664</v>
      </c>
      <c r="D18" s="17">
        <f>DATE(2022,3,1)</f>
        <v>44621</v>
      </c>
      <c r="E18" s="24">
        <v>37691</v>
      </c>
      <c r="F18" s="24" t="s">
        <v>52</v>
      </c>
      <c r="G18" s="24">
        <v>37691</v>
      </c>
      <c r="H18" s="18">
        <v>47908</v>
      </c>
      <c r="I18" s="20">
        <v>8818.7899999999991</v>
      </c>
      <c r="J18" s="21">
        <v>12</v>
      </c>
      <c r="K18" s="20">
        <f t="shared" si="1"/>
        <v>105825.48</v>
      </c>
      <c r="M18" s="20"/>
    </row>
    <row r="19" spans="1:13" ht="12.75" customHeight="1">
      <c r="A19" s="6">
        <f t="shared" si="0"/>
        <v>15</v>
      </c>
      <c r="B19" s="23" t="s">
        <v>23</v>
      </c>
      <c r="C19" s="17">
        <v>33664</v>
      </c>
      <c r="D19" s="17">
        <f>DATE(2022,3,1)</f>
        <v>44621</v>
      </c>
      <c r="E19" s="24">
        <v>37691</v>
      </c>
      <c r="F19" s="24" t="s">
        <v>52</v>
      </c>
      <c r="G19" s="24">
        <v>37691</v>
      </c>
      <c r="H19" s="18">
        <v>47908</v>
      </c>
      <c r="I19" s="20">
        <v>2691.48</v>
      </c>
      <c r="J19" s="21">
        <v>12</v>
      </c>
      <c r="K19" s="20">
        <f t="shared" si="1"/>
        <v>32297.759999999998</v>
      </c>
      <c r="M19" s="20"/>
    </row>
    <row r="20" spans="1:13" ht="12.75" customHeight="1">
      <c r="A20" s="6">
        <f t="shared" si="0"/>
        <v>16</v>
      </c>
      <c r="B20" s="23" t="s">
        <v>64</v>
      </c>
      <c r="C20" s="17">
        <v>37691</v>
      </c>
      <c r="D20" s="17">
        <v>47908</v>
      </c>
      <c r="E20" s="24">
        <v>41449</v>
      </c>
      <c r="F20" s="24" t="s">
        <v>65</v>
      </c>
      <c r="G20" s="24">
        <v>41417</v>
      </c>
      <c r="H20" s="18">
        <v>47908</v>
      </c>
      <c r="I20" s="20">
        <v>24927.39</v>
      </c>
      <c r="J20" s="21">
        <v>12</v>
      </c>
      <c r="K20" s="20">
        <f t="shared" si="1"/>
        <v>299128.68</v>
      </c>
      <c r="M20" s="20"/>
    </row>
    <row r="21" spans="1:13" ht="12.75" customHeight="1">
      <c r="A21" s="6">
        <f t="shared" si="0"/>
        <v>17</v>
      </c>
      <c r="B21" s="23" t="s">
        <v>64</v>
      </c>
      <c r="C21" s="17">
        <v>37691</v>
      </c>
      <c r="D21" s="17">
        <v>47908</v>
      </c>
      <c r="E21" s="24">
        <v>41449</v>
      </c>
      <c r="F21" s="24" t="s">
        <v>65</v>
      </c>
      <c r="G21" s="24">
        <v>41417</v>
      </c>
      <c r="H21" s="18">
        <v>47908</v>
      </c>
      <c r="I21" s="20">
        <v>4212.7700000000004</v>
      </c>
      <c r="J21" s="21">
        <v>12</v>
      </c>
      <c r="K21" s="20">
        <f t="shared" si="1"/>
        <v>50553.24</v>
      </c>
      <c r="M21" s="20"/>
    </row>
    <row r="22" spans="1:13" ht="12.75" customHeight="1">
      <c r="A22" s="6">
        <f>A21+1</f>
        <v>18</v>
      </c>
      <c r="B22" s="16" t="s">
        <v>44</v>
      </c>
      <c r="C22" s="17">
        <v>38183</v>
      </c>
      <c r="D22" s="17">
        <v>38913</v>
      </c>
      <c r="E22" s="17">
        <v>38499</v>
      </c>
      <c r="F22" s="17" t="s">
        <v>45</v>
      </c>
      <c r="G22" s="17">
        <v>38499</v>
      </c>
      <c r="H22" s="18">
        <v>49456</v>
      </c>
      <c r="I22" s="20">
        <v>1423.88</v>
      </c>
      <c r="J22" s="21">
        <v>12</v>
      </c>
      <c r="K22" s="20">
        <f t="shared" si="1"/>
        <v>17086.560000000001</v>
      </c>
      <c r="M22" s="20"/>
    </row>
    <row r="23" spans="1:13" ht="12.75" customHeight="1">
      <c r="A23" s="6">
        <f t="shared" si="0"/>
        <v>19</v>
      </c>
      <c r="B23" s="16" t="s">
        <v>18</v>
      </c>
      <c r="C23" s="17">
        <v>37035</v>
      </c>
      <c r="D23" s="17">
        <v>51682</v>
      </c>
      <c r="E23" s="17">
        <v>38898</v>
      </c>
      <c r="F23" s="17" t="s">
        <v>53</v>
      </c>
      <c r="G23" s="17">
        <v>38898</v>
      </c>
      <c r="H23" s="18">
        <v>49841</v>
      </c>
      <c r="I23" s="20">
        <v>16418.45</v>
      </c>
      <c r="J23" s="21">
        <v>12</v>
      </c>
      <c r="K23" s="20">
        <f t="shared" si="1"/>
        <v>197021.4</v>
      </c>
      <c r="M23" s="20"/>
    </row>
    <row r="24" spans="1:13" ht="12.75" customHeight="1">
      <c r="A24" s="6">
        <f t="shared" si="0"/>
        <v>20</v>
      </c>
      <c r="B24" s="16" t="s">
        <v>62</v>
      </c>
      <c r="C24" s="17">
        <v>33117</v>
      </c>
      <c r="D24" s="17">
        <v>44075</v>
      </c>
      <c r="E24" s="17">
        <v>40900</v>
      </c>
      <c r="F24" s="17" t="s">
        <v>63</v>
      </c>
      <c r="G24" s="17">
        <v>40869</v>
      </c>
      <c r="H24" s="18">
        <v>55472</v>
      </c>
      <c r="I24" s="20">
        <v>33376.57</v>
      </c>
      <c r="J24" s="21">
        <v>12</v>
      </c>
      <c r="K24" s="20">
        <f t="shared" si="1"/>
        <v>400518.84</v>
      </c>
      <c r="M24" s="20"/>
    </row>
    <row r="25" spans="1:13" ht="12.75" customHeight="1">
      <c r="A25" s="6">
        <f t="shared" si="0"/>
        <v>21</v>
      </c>
      <c r="B25" s="16" t="s">
        <v>66</v>
      </c>
      <c r="C25" s="17">
        <v>38637</v>
      </c>
      <c r="D25" s="17">
        <v>42278</v>
      </c>
      <c r="E25" s="17">
        <v>42160</v>
      </c>
      <c r="F25" s="17" t="s">
        <v>68</v>
      </c>
      <c r="G25" s="17">
        <v>42150</v>
      </c>
      <c r="H25" s="18">
        <v>53102</v>
      </c>
      <c r="I25" s="20">
        <v>6858.54</v>
      </c>
      <c r="J25" s="21">
        <v>12</v>
      </c>
      <c r="K25" s="20">
        <f t="shared" si="1"/>
        <v>82302.48</v>
      </c>
      <c r="M25" s="20"/>
    </row>
    <row r="26" spans="1:13" ht="12.75" customHeight="1">
      <c r="A26" s="6">
        <f t="shared" si="0"/>
        <v>22</v>
      </c>
      <c r="B26" s="16" t="s">
        <v>67</v>
      </c>
      <c r="C26" s="17">
        <v>39836</v>
      </c>
      <c r="D26" s="17">
        <v>42384</v>
      </c>
      <c r="E26" s="17">
        <v>42160</v>
      </c>
      <c r="F26" s="17" t="s">
        <v>68</v>
      </c>
      <c r="G26" s="17">
        <v>42150</v>
      </c>
      <c r="H26" s="18">
        <v>53102</v>
      </c>
      <c r="I26" s="20">
        <v>26387.48</v>
      </c>
      <c r="J26" s="21">
        <v>12</v>
      </c>
      <c r="K26" s="20">
        <f t="shared" si="1"/>
        <v>316649.76</v>
      </c>
      <c r="M26" s="20"/>
    </row>
    <row r="27" spans="1:13" ht="12.75" customHeight="1">
      <c r="A27" s="6">
        <f t="shared" si="0"/>
        <v>23</v>
      </c>
      <c r="B27" s="16" t="s">
        <v>137</v>
      </c>
      <c r="C27" s="17">
        <v>39237</v>
      </c>
      <c r="D27" s="17">
        <v>24624</v>
      </c>
      <c r="E27" s="17">
        <v>43217</v>
      </c>
      <c r="F27" s="17"/>
      <c r="G27" s="17"/>
      <c r="H27" s="18">
        <v>61149</v>
      </c>
      <c r="I27" s="18"/>
      <c r="J27" s="18"/>
      <c r="K27" s="26">
        <v>75166.02</v>
      </c>
    </row>
    <row r="28" spans="1:13" ht="12.75" customHeight="1">
      <c r="A28" s="6">
        <f t="shared" si="0"/>
        <v>24</v>
      </c>
      <c r="B28" s="16"/>
      <c r="C28" s="17"/>
      <c r="D28" s="17"/>
      <c r="E28" s="17"/>
      <c r="F28" s="17"/>
      <c r="G28" s="17"/>
      <c r="H28" s="18"/>
      <c r="I28" s="18"/>
      <c r="J28" s="18"/>
      <c r="K28" s="26"/>
    </row>
    <row r="29" spans="1:13" ht="15" customHeight="1" thickBot="1">
      <c r="A29" s="6">
        <f t="shared" si="0"/>
        <v>25</v>
      </c>
      <c r="B29" s="27" t="s">
        <v>17</v>
      </c>
      <c r="C29" s="28"/>
      <c r="D29" s="28"/>
      <c r="E29" s="28"/>
      <c r="F29" s="28"/>
      <c r="G29" s="28"/>
      <c r="H29" s="28"/>
      <c r="I29" s="28"/>
      <c r="J29" s="28"/>
      <c r="K29" s="29">
        <f>SUM(K8:K27)</f>
        <v>2133971.04</v>
      </c>
    </row>
    <row r="30" spans="1:13" ht="15" customHeight="1" thickTop="1">
      <c r="A30" s="6">
        <f t="shared" si="0"/>
        <v>26</v>
      </c>
      <c r="B30" s="27"/>
      <c r="C30" s="28"/>
      <c r="D30" s="28"/>
      <c r="E30" s="28"/>
      <c r="F30" s="28"/>
      <c r="G30" s="28"/>
      <c r="H30" s="28"/>
      <c r="I30" s="28"/>
      <c r="J30" s="28"/>
      <c r="K30" s="30"/>
    </row>
    <row r="31" spans="1:13" ht="15" customHeight="1">
      <c r="A31" s="6">
        <f t="shared" si="0"/>
        <v>27</v>
      </c>
      <c r="B31" s="27" t="s">
        <v>116</v>
      </c>
      <c r="C31" s="28"/>
      <c r="D31" s="28"/>
      <c r="E31" s="28"/>
      <c r="F31" s="28"/>
      <c r="G31" s="28"/>
      <c r="H31" s="28"/>
      <c r="I31" s="28"/>
      <c r="J31" s="28"/>
      <c r="K31" s="31">
        <f>'Pg 2 Cost of Total Debt'!H38</f>
        <v>7978568523.7901583</v>
      </c>
    </row>
    <row r="32" spans="1:13" ht="12.75" customHeight="1">
      <c r="A32" s="6">
        <f t="shared" si="0"/>
        <v>28</v>
      </c>
      <c r="B32" s="27"/>
      <c r="C32" s="32"/>
      <c r="D32" s="32"/>
      <c r="E32" s="32"/>
      <c r="F32" s="32"/>
      <c r="G32" s="32"/>
      <c r="H32" s="32"/>
      <c r="I32" s="32"/>
      <c r="J32" s="32"/>
      <c r="K32" s="19"/>
    </row>
    <row r="33" spans="1:11" ht="12.75" customHeight="1">
      <c r="A33" s="6">
        <f t="shared" si="0"/>
        <v>29</v>
      </c>
      <c r="B33" s="27" t="s">
        <v>73</v>
      </c>
      <c r="C33" s="2"/>
      <c r="D33" s="2"/>
      <c r="E33" s="2"/>
      <c r="F33" s="2"/>
      <c r="G33" s="2"/>
      <c r="H33" s="33"/>
      <c r="I33" s="33"/>
      <c r="J33" s="33"/>
      <c r="K33" s="34">
        <f>ROUND(K29/K31,4)</f>
        <v>2.9999999999999997E-4</v>
      </c>
    </row>
    <row r="34" spans="1:11" ht="12.75" customHeight="1">
      <c r="A34" s="6">
        <f t="shared" si="0"/>
        <v>30</v>
      </c>
      <c r="B34" s="35"/>
      <c r="H34" s="36"/>
      <c r="I34" s="36"/>
      <c r="J34" s="36"/>
      <c r="K34" s="19"/>
    </row>
    <row r="35" spans="1:11" ht="12.75" customHeight="1">
      <c r="A35" s="6">
        <f t="shared" si="0"/>
        <v>31</v>
      </c>
      <c r="B35" s="2" t="s">
        <v>74</v>
      </c>
      <c r="H35" s="36"/>
      <c r="I35" s="36"/>
      <c r="J35" s="36"/>
      <c r="K35" s="19"/>
    </row>
    <row r="36" spans="1:11" ht="12.75" customHeight="1">
      <c r="A36" s="6"/>
      <c r="B36" s="35"/>
      <c r="H36" s="36"/>
      <c r="I36" s="36"/>
      <c r="J36" s="36"/>
      <c r="K36" s="36"/>
    </row>
    <row r="37" spans="1:11" ht="12.75" customHeight="1">
      <c r="A37" s="37"/>
      <c r="H37" s="36"/>
      <c r="I37" s="36"/>
      <c r="J37" s="36"/>
      <c r="K37" s="36"/>
    </row>
    <row r="38" spans="1:11" ht="12.75" customHeight="1">
      <c r="H38" s="36"/>
      <c r="I38" s="36"/>
      <c r="J38" s="36"/>
      <c r="K38" s="36"/>
    </row>
    <row r="39" spans="1:11" ht="12.75" customHeight="1">
      <c r="H39" s="36"/>
      <c r="I39" s="36"/>
      <c r="J39" s="36"/>
      <c r="K39" s="38"/>
    </row>
    <row r="40" spans="1:11" ht="12.75" customHeight="1">
      <c r="H40" s="36"/>
      <c r="I40" s="36"/>
      <c r="J40" s="36"/>
      <c r="K40" s="36"/>
    </row>
    <row r="41" spans="1:11" ht="12.75" customHeight="1">
      <c r="H41" s="36"/>
      <c r="I41" s="36"/>
      <c r="J41" s="36"/>
      <c r="K41" s="36"/>
    </row>
    <row r="42" spans="1:11" ht="12.75" customHeight="1">
      <c r="H42" s="36"/>
      <c r="I42" s="36"/>
      <c r="J42" s="36"/>
      <c r="K42" s="36"/>
    </row>
    <row r="43" spans="1:11" ht="12.75" customHeight="1">
      <c r="H43" s="36"/>
      <c r="I43" s="36"/>
      <c r="J43" s="36"/>
      <c r="K43" s="36"/>
    </row>
    <row r="44" spans="1:11" ht="12.75" customHeight="1">
      <c r="H44" s="36"/>
      <c r="I44" s="36"/>
      <c r="J44" s="36"/>
      <c r="K44" s="36"/>
    </row>
    <row r="45" spans="1:11" ht="12.75" customHeight="1">
      <c r="H45" s="36"/>
      <c r="I45" s="36"/>
      <c r="J45" s="36"/>
      <c r="K45" s="36"/>
    </row>
    <row r="46" spans="1:11" ht="12.75" customHeight="1">
      <c r="H46" s="36"/>
      <c r="I46" s="36"/>
      <c r="J46" s="36"/>
      <c r="K46" s="36"/>
    </row>
    <row r="47" spans="1:11" ht="12.75" customHeight="1">
      <c r="H47" s="36"/>
      <c r="I47" s="36"/>
      <c r="J47" s="36"/>
      <c r="K47" s="36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A1:K1"/>
    <mergeCell ref="A2:K2"/>
    <mergeCell ref="A3:K3"/>
  </mergeCells>
  <phoneticPr fontId="6" type="noConversion"/>
  <printOptions horizontalCentered="1"/>
  <pageMargins left="0.2" right="0.2" top="1" bottom="0.5" header="0.36" footer="0.5"/>
  <pageSetup scale="98" orientation="landscape" r:id="rId1"/>
  <headerFooter scaleWithDoc="0" alignWithMargins="0">
    <oddFooter>&amp;R&amp;"Times New Roman,Regular"&amp;12Exh. MDM-5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1726F1-A84E-4DBD-9A8B-4071629BD210}"/>
</file>

<file path=customXml/itemProps2.xml><?xml version="1.0" encoding="utf-8"?>
<ds:datastoreItem xmlns:ds="http://schemas.openxmlformats.org/officeDocument/2006/customXml" ds:itemID="{C41E89D9-B057-4D62-B548-0AC61468F086}"/>
</file>

<file path=customXml/itemProps3.xml><?xml version="1.0" encoding="utf-8"?>
<ds:datastoreItem xmlns:ds="http://schemas.openxmlformats.org/officeDocument/2006/customXml" ds:itemID="{FF120BFD-C752-4C9B-905E-2693FD0DEF7A}"/>
</file>

<file path=customXml/itemProps4.xml><?xml version="1.0" encoding="utf-8"?>
<ds:datastoreItem xmlns:ds="http://schemas.openxmlformats.org/officeDocument/2006/customXml" ds:itemID="{716FD132-AD2C-4C2F-860A-8454E15DE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New Format</vt:lpstr>
      <vt:lpstr>Pg 1 CofCap</vt:lpstr>
      <vt:lpstr>Pg 2 Cost of Total Debt</vt:lpstr>
      <vt:lpstr>Pg 3 STD Int &amp; Fees-Details</vt:lpstr>
      <vt:lpstr>Pg 4 Reacquired Debt</vt:lpstr>
      <vt:lpstr>'New Format'!Print_Area</vt:lpstr>
      <vt:lpstr>'Pg 1 CofCap'!Print_Area</vt:lpstr>
      <vt:lpstr>'Pg 2 Cost of Total Debt'!Print_Area</vt:lpstr>
      <vt:lpstr>'Pg 3 STD Int &amp; Fees-Details'!Print_Area</vt:lpstr>
      <vt:lpstr>'Pg 4 Reacquired Debt'!Print_Area</vt:lpstr>
      <vt:lpstr>'Pg 4 Reacquired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Peterson, Pete</cp:lastModifiedBy>
  <cp:lastPrinted>2020-02-20T20:00:20Z</cp:lastPrinted>
  <dcterms:created xsi:type="dcterms:W3CDTF">2019-06-14T17:44:27Z</dcterms:created>
  <dcterms:modified xsi:type="dcterms:W3CDTF">2020-02-28T19:48:01Z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