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ustomProperty18.bin" ContentType="application/vnd.openxmlformats-officedocument.spreadsheetml.customProperty"/>
  <Override PartName="/xl/customProperty1.bin" ContentType="application/vnd.openxmlformats-officedocument.spreadsheetml.customProperty"/>
  <Override PartName="/xl/customProperty17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16.bin" ContentType="application/vnd.openxmlformats-officedocument.spreadsheetml.customProperty"/>
  <Override PartName="/xl/externalLinks/externalLink3.xml" ContentType="application/vnd.openxmlformats-officedocument.spreadsheetml.externalLink+xml"/>
  <Override PartName="/xl/customProperty15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4.bin" ContentType="application/vnd.openxmlformats-officedocument.spreadsheetml.customProperty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-12" yWindow="48" windowWidth="14520" windowHeight="5736" tabRatio="872"/>
  </bookViews>
  <sheets>
    <sheet name="Impacts" sheetId="25" r:id="rId1"/>
    <sheet name="Rllfwd" sheetId="26" r:id="rId2"/>
    <sheet name="COC, Def, ConvF" sheetId="2" r:id="rId3"/>
    <sheet name="COC-Restating" sheetId="21" r:id="rId4"/>
    <sheet name="Summary" sheetId="24" r:id="rId5"/>
    <sheet name="Detailed Summary" sheetId="1" r:id="rId6"/>
    <sheet name="Common Adj" sheetId="6" r:id="rId7"/>
    <sheet name="Gas Adj" sheetId="22" r:id="rId8"/>
    <sheet name="Named Ranges G" sheetId="3" r:id="rId9"/>
    <sheet name="Track diffs for impact" sheetId="27" r:id="rId10"/>
  </sheets>
  <externalReferences>
    <externalReference r:id="rId11"/>
    <externalReference r:id="rId12"/>
    <externalReference r:id="rId13"/>
  </externalReferences>
  <definedNames>
    <definedName name="_AMAtoEOP_RB_G">'Common Adj'!$EH$5:$EO$20</definedName>
    <definedName name="_AMI_G">'Common Adj'!$FN$5:$FU$42</definedName>
    <definedName name="_AnnualRentExp_G">'Common Adj'!$FV$5:$GC$33</definedName>
    <definedName name="_BadDebt_G">'Common Adj'!$AW$5:$BE$20</definedName>
    <definedName name="_COC_G">'COC, Def, ConvF'!$D$2:$H$19</definedName>
    <definedName name="_ContractEsc_G">'Common Adj'!$HJ$5:$HQ$24</definedName>
    <definedName name="_ConvFact_G">'COC, Def, ConvF'!$I$2:$M$21</definedName>
    <definedName name="_D_and_O_G">'Common Adj'!$BV$5:$CC$22</definedName>
    <definedName name="_DefGainAndLosses_G">'Common Adj'!$EX$5:$FE$21</definedName>
    <definedName name="_DeprRestmt_G">'Common Adj'!$EP$5:$EW$32</definedName>
    <definedName name="_EmployeeIns_G">'Common Adj'!$DZ$5:$EG$26</definedName>
    <definedName name="_EnvRem_G">'Common Adj'!$FF$5:$FM$19</definedName>
    <definedName name="_ExciseTax_G">'Common Adj'!$BN$5:$BU$20</definedName>
    <definedName name="_FedIncTax_G">'Common Adj'!$Q$5:$X$18</definedName>
    <definedName name="_GreenDirect">'Common Adj'!$HZ$2:$IG$20</definedName>
    <definedName name="_GTZ_G">'Common Adj'!$GD$5:$GK$38</definedName>
    <definedName name="_HRTops_G">'Common Adj'!$HR$5:$HY$38</definedName>
    <definedName name="_Incentives_G">'Common Adj'!$BF$5:$BM$30</definedName>
    <definedName name="_IntOnCustDep_G">'Common Adj'!$CD$5:$CK$16</definedName>
    <definedName name="_InvPlan_G">'Common Adj'!$DR$5:$DY$34</definedName>
    <definedName name="_NormInsAndDam_G">'Common Adj'!$AO$5:$AV$22</definedName>
    <definedName name="_Order1">255</definedName>
    <definedName name="_Order2">255</definedName>
    <definedName name="_PassThru_G">'Common Adj'!$AG$5:$AN$45</definedName>
    <definedName name="_PaymentProccessing_G">'Common Adj'!$GL$5:$GS$20</definedName>
    <definedName name="_PensionPlan_G">'Common Adj'!$CT$5:$DA$20</definedName>
    <definedName name="_ProformCRM_G">'Gas Adj'!$J$5:$Q$41</definedName>
    <definedName name="_PropAndLiab_G">'Common Adj'!$DB$5:$DI$20</definedName>
    <definedName name="_PublicImpr_G">'Common Adj'!$HB$5:$HI$28</definedName>
    <definedName name="_RateCaseExp_G">'Common Adj'!$CL$5:$CS$21</definedName>
    <definedName name="_RateIncr_G">'COC, Def, ConvF'!$A$2:$C$36</definedName>
    <definedName name="_RemoveCRM_G">'Gas Adj'!$A$5:$H$27</definedName>
    <definedName name="_RevAndExp_G">'Common Adj'!$A$5:$H$48</definedName>
    <definedName name="_TBOPI_G">'Common Adj'!$Y$5:$AF$22</definedName>
    <definedName name="_TempNorm_G">'Common Adj'!$I$5:$P$33</definedName>
    <definedName name="_UnprotectedDFIT_G">'Common Adj'!$GT$5:$HA$23</definedName>
    <definedName name="_WageIncr_G">'Common Adj'!$DJ$5:$DQ$31</definedName>
    <definedName name="AccessDatabase">"I:\COMTREL\FINICLE\TradeSummary.mdb"</definedName>
    <definedName name="AS2DocOpenMode">"AS2DocumentEdit"</definedName>
    <definedName name="BD_G">'Common Adj'!$EJ$13</definedName>
    <definedName name="CASE">'[1]Named Ranges'!$C$4</definedName>
    <definedName name="CASE_E">'[2]Named Ranges E'!$C$4</definedName>
    <definedName name="CASE_GAS" localSheetId="0">'[3]Named Ranges G'!$C$4</definedName>
    <definedName name="CASE_GAS">'Named Ranges G'!$C$4</definedName>
    <definedName name="CBWorkbookPriority">-2060790043</definedName>
    <definedName name="Comp">'[1]Named Ranges'!$C$8</definedName>
    <definedName name="Comp_E">'[2]Named Ranges E'!$C$8</definedName>
    <definedName name="Comp_GAS" localSheetId="0">'[3]Named Ranges G'!$C$8</definedName>
    <definedName name="Comp_GAS">'Named Ranges G'!$C$8</definedName>
    <definedName name="Conv_Factor_G">'COC, Def, ConvF'!$I$2:$L$22</definedName>
    <definedName name="COST_OF_CAPITAL_G">'COC, Def, ConvF'!$D$2:$H$23</definedName>
    <definedName name="DOCKETNUMBER">'[1]Named Ranges'!$C$6</definedName>
    <definedName name="DOCKETNUMBER_E">'[2]Named Ranges E'!$C$6</definedName>
    <definedName name="DOCKETNUMBER_GAS" localSheetId="0">'[3]Named Ranges G'!$C$6</definedName>
    <definedName name="DOCKETNUMBER_GAS">'Named Ranges G'!$C$6</definedName>
    <definedName name="EXHIBIT_G">'Named Ranges G'!$C$7</definedName>
    <definedName name="FF_G">'Common Adj'!$EJ$14</definedName>
    <definedName name="FIT">'[1]Named Ranges'!$C$3</definedName>
    <definedName name="FIT_E">'[2]Named Ranges E'!$C$3</definedName>
    <definedName name="FIT_GAS">'Named Ranges G'!$C$3</definedName>
    <definedName name="_xlnm.Print_Area" localSheetId="5">'Detailed Summary'!$A$1:$AW$62</definedName>
    <definedName name="_xlnm.Print_Area" localSheetId="4">Summary!$A$1:$I$62</definedName>
    <definedName name="_xlnm.Print_Titles" localSheetId="5">'Detailed Summary'!$A:$B,'Detailed Summary'!$1:$12</definedName>
    <definedName name="_xlnm.Print_Titles" localSheetId="4">Summary!$A:$B,Summary!$1:$12</definedName>
    <definedName name="RATE_Increase_G">'COC, Def, ConvF'!$A$2:$C$22</definedName>
    <definedName name="RY_G">'Named Ranges G'!$C$9</definedName>
    <definedName name="TESTYEAR">'[1]Named Ranges'!$C$5</definedName>
    <definedName name="TESTYEAR_E">'[2]Named Ranges E'!$C$5</definedName>
    <definedName name="TESTYEAR_GAS" localSheetId="0">'[3]Named Ranges G'!$C$5</definedName>
    <definedName name="TESTYEAR_GAS">'Named Ranges G'!$C$5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N_G">'Common Adj'!$EJ$15</definedName>
  </definedNames>
  <calcPr calcId="162913"/>
</workbook>
</file>

<file path=xl/calcChain.xml><?xml version="1.0" encoding="utf-8"?>
<calcChain xmlns="http://schemas.openxmlformats.org/spreadsheetml/2006/main">
  <c r="P52" i="25" l="1"/>
  <c r="V90" i="2"/>
  <c r="U90" i="2"/>
  <c r="T90" i="2"/>
  <c r="V89" i="2"/>
  <c r="U89" i="2"/>
  <c r="T89" i="2"/>
  <c r="U88" i="2"/>
  <c r="V87" i="2"/>
  <c r="U87" i="2"/>
  <c r="T87" i="2"/>
  <c r="U86" i="2"/>
  <c r="V85" i="2"/>
  <c r="U85" i="2"/>
  <c r="T85" i="2"/>
  <c r="U84" i="2"/>
  <c r="V83" i="2"/>
  <c r="U83" i="2"/>
  <c r="T83" i="2"/>
  <c r="U82" i="2"/>
  <c r="V81" i="2"/>
  <c r="U81" i="2"/>
  <c r="T81" i="2"/>
  <c r="U80" i="2"/>
  <c r="U79" i="2"/>
  <c r="U78" i="2"/>
  <c r="U77" i="2"/>
  <c r="V76" i="2"/>
  <c r="U76" i="2"/>
  <c r="T76" i="2"/>
  <c r="U75" i="2"/>
  <c r="U74" i="2"/>
  <c r="V73" i="2"/>
  <c r="U73" i="2"/>
  <c r="T73" i="2"/>
  <c r="U72" i="2"/>
  <c r="U71" i="2"/>
  <c r="V70" i="2"/>
  <c r="U70" i="2"/>
  <c r="T70" i="2"/>
  <c r="U69" i="2"/>
  <c r="V68" i="2"/>
  <c r="U68" i="2"/>
  <c r="T68" i="2"/>
  <c r="U67" i="2"/>
  <c r="U66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P54" i="2"/>
  <c r="P51" i="2"/>
  <c r="P50" i="2"/>
  <c r="P49" i="2"/>
  <c r="P48" i="2"/>
  <c r="P47" i="2"/>
  <c r="P46" i="2"/>
  <c r="P44" i="2"/>
  <c r="E21" i="2" l="1"/>
  <c r="G34" i="2"/>
  <c r="L17" i="26" l="1"/>
  <c r="K28" i="25" l="1"/>
  <c r="T14" i="2" l="1"/>
  <c r="T22" i="2"/>
  <c r="T27" i="2"/>
  <c r="T29" i="2"/>
  <c r="T31" i="2"/>
  <c r="T33" i="2"/>
  <c r="T35" i="2"/>
  <c r="G24" i="26" l="1"/>
  <c r="G23" i="26" l="1"/>
  <c r="I23" i="26" l="1"/>
  <c r="I24" i="26"/>
  <c r="I25" i="26"/>
  <c r="I26" i="26"/>
  <c r="I27" i="26"/>
  <c r="I28" i="26"/>
  <c r="G22" i="26"/>
  <c r="I22" i="26" s="1"/>
  <c r="G21" i="26"/>
  <c r="K34" i="25" l="1"/>
  <c r="K35" i="25"/>
  <c r="K36" i="25"/>
  <c r="K37" i="25"/>
  <c r="K38" i="25"/>
  <c r="K39" i="25"/>
  <c r="A22" i="26"/>
  <c r="A23" i="26"/>
  <c r="A24" i="26"/>
  <c r="A25" i="26"/>
  <c r="A26" i="26"/>
  <c r="A27" i="26"/>
  <c r="A28" i="26"/>
  <c r="G20" i="26" l="1"/>
  <c r="G17" i="26"/>
  <c r="G19" i="26" l="1"/>
  <c r="D29" i="25" l="1"/>
  <c r="A14" i="26" l="1"/>
  <c r="A15" i="26"/>
  <c r="A16" i="26"/>
  <c r="A18" i="26"/>
  <c r="A17" i="26"/>
  <c r="A19" i="26"/>
  <c r="A20" i="26"/>
  <c r="A21" i="26"/>
  <c r="A29" i="26"/>
  <c r="A30" i="26"/>
  <c r="P24" i="2" l="1"/>
  <c r="I18" i="26" l="1"/>
  <c r="G16" i="26"/>
  <c r="I16" i="26" s="1"/>
  <c r="F28" i="25"/>
  <c r="I21" i="26" l="1"/>
  <c r="I20" i="26"/>
  <c r="I19" i="26"/>
  <c r="I17" i="26"/>
  <c r="A113" i="27" l="1"/>
  <c r="A100" i="27"/>
  <c r="A92" i="27"/>
  <c r="A84" i="27"/>
  <c r="A76" i="27"/>
  <c r="A68" i="27"/>
  <c r="A60" i="27"/>
  <c r="A43" i="27"/>
  <c r="A41" i="27"/>
  <c r="A37" i="27"/>
  <c r="A21" i="27"/>
  <c r="A19" i="27"/>
  <c r="A17" i="27"/>
  <c r="A15" i="27"/>
  <c r="A13" i="27"/>
  <c r="A12" i="27"/>
  <c r="A7" i="27"/>
  <c r="A8" i="27" s="1"/>
  <c r="G111" i="27"/>
  <c r="A9" i="27" l="1"/>
  <c r="A10" i="27" l="1"/>
  <c r="A11" i="27" l="1"/>
  <c r="A14" i="27" l="1"/>
  <c r="A16" i="27" s="1"/>
  <c r="A18" i="27" l="1"/>
  <c r="A20" i="27"/>
  <c r="A22" i="27" l="1"/>
  <c r="A23" i="27" s="1"/>
  <c r="A24" i="27" l="1"/>
  <c r="A25" i="27" l="1"/>
  <c r="A26" i="27" l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8" i="27" l="1"/>
  <c r="A39" i="27" s="1"/>
  <c r="A40" i="27" s="1"/>
  <c r="A42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1" i="27" s="1"/>
  <c r="A62" i="27" s="1"/>
  <c r="A63" i="27" s="1"/>
  <c r="A64" i="27" s="1"/>
  <c r="A65" i="27" s="1"/>
  <c r="A66" i="27" s="1"/>
  <c r="A67" i="27" s="1"/>
  <c r="A69" i="27" s="1"/>
  <c r="A70" i="27" s="1"/>
  <c r="A71" i="27" s="1"/>
  <c r="A72" i="27" s="1"/>
  <c r="A73" i="27" s="1"/>
  <c r="A74" i="27" s="1"/>
  <c r="A75" i="27" s="1"/>
  <c r="A77" i="27" s="1"/>
  <c r="A78" i="27" s="1"/>
  <c r="A79" i="27" s="1"/>
  <c r="A80" i="27" s="1"/>
  <c r="A81" i="27" s="1"/>
  <c r="A82" i="27" s="1"/>
  <c r="A83" i="27" s="1"/>
  <c r="A85" i="27" s="1"/>
  <c r="A86" i="27" s="1"/>
  <c r="A87" i="27" s="1"/>
  <c r="A88" i="27" s="1"/>
  <c r="A89" i="27" s="1"/>
  <c r="A90" i="27" s="1"/>
  <c r="A91" i="27" s="1"/>
  <c r="A93" i="27" s="1"/>
  <c r="A94" i="27" s="1"/>
  <c r="A95" i="27" s="1"/>
  <c r="A96" i="27" s="1"/>
  <c r="A97" i="27" s="1"/>
  <c r="A98" i="27" s="1"/>
  <c r="A99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E27" i="25"/>
  <c r="L39" i="25" l="1"/>
  <c r="L27" i="25"/>
  <c r="D27" i="25" l="1"/>
  <c r="G15" i="26" l="1"/>
  <c r="IG9" i="6" l="1"/>
  <c r="HY9" i="6"/>
  <c r="T23" i="2" l="1"/>
  <c r="T77" i="2" s="1"/>
  <c r="V23" i="2"/>
  <c r="V77" i="2" s="1"/>
  <c r="V25" i="2"/>
  <c r="V79" i="2" s="1"/>
  <c r="T25" i="2"/>
  <c r="T79" i="2" s="1"/>
  <c r="T24" i="2"/>
  <c r="T78" i="2" s="1"/>
  <c r="V24" i="2"/>
  <c r="V78" i="2" s="1"/>
  <c r="V36" i="2"/>
  <c r="T36" i="2"/>
  <c r="I12" i="25"/>
  <c r="C26" i="25"/>
  <c r="E26" i="25"/>
  <c r="K40" i="25" l="1"/>
  <c r="AK9" i="1" l="1"/>
  <c r="AI9" i="1"/>
  <c r="AH9" i="1"/>
  <c r="AG9" i="1"/>
  <c r="X71" i="1" l="1"/>
  <c r="X74" i="1"/>
  <c r="X42" i="1"/>
  <c r="X44" i="1" s="1"/>
  <c r="X25" i="1"/>
  <c r="X17" i="1"/>
  <c r="Y56" i="1"/>
  <c r="Y38" i="1"/>
  <c r="Y37" i="1"/>
  <c r="Y36" i="1"/>
  <c r="Y24" i="1"/>
  <c r="Y22" i="1"/>
  <c r="Y15" i="1"/>
  <c r="IG18" i="6" l="1"/>
  <c r="IF18" i="6"/>
  <c r="IG17" i="6"/>
  <c r="IG16" i="6"/>
  <c r="ID18" i="6"/>
  <c r="ID20" i="6" s="1"/>
  <c r="IE17" i="6"/>
  <c r="X53" i="1" s="1"/>
  <c r="HZ17" i="6"/>
  <c r="HZ18" i="6" s="1"/>
  <c r="HZ19" i="6" s="1"/>
  <c r="HZ20" i="6" s="1"/>
  <c r="IE16" i="6"/>
  <c r="IF20" i="6"/>
  <c r="HZ15" i="6"/>
  <c r="HZ16" i="6" s="1"/>
  <c r="HZ8" i="6"/>
  <c r="HZ7" i="6"/>
  <c r="HZ5" i="6"/>
  <c r="IG2" i="6"/>
  <c r="IE18" i="6" l="1"/>
  <c r="IE20" i="6" s="1"/>
  <c r="X51" i="1"/>
  <c r="IC18" i="6"/>
  <c r="IC20" i="6" s="1"/>
  <c r="IG20" i="6"/>
  <c r="X57" i="1" l="1"/>
  <c r="X46" i="1" s="1"/>
  <c r="K21" i="25"/>
  <c r="X72" i="1" l="1"/>
  <c r="X75" i="1" s="1"/>
  <c r="E23" i="25"/>
  <c r="F23" i="25" l="1"/>
  <c r="G11" i="26" l="1"/>
  <c r="I11" i="26" s="1"/>
  <c r="K12" i="25" l="1"/>
  <c r="D48" i="25"/>
  <c r="C48" i="25"/>
  <c r="E48" i="25" l="1"/>
  <c r="A8" i="26" l="1"/>
  <c r="G10" i="26"/>
  <c r="I10" i="26" s="1"/>
  <c r="G12" i="26"/>
  <c r="I12" i="26" s="1"/>
  <c r="G13" i="26"/>
  <c r="I13" i="26" s="1"/>
  <c r="G14" i="26"/>
  <c r="I14" i="26" s="1"/>
  <c r="I15" i="26"/>
  <c r="G29" i="26"/>
  <c r="I29" i="26" s="1"/>
  <c r="G30" i="26"/>
  <c r="I30" i="26" s="1"/>
  <c r="G9" i="26"/>
  <c r="I9" i="26" s="1"/>
  <c r="G8" i="26"/>
  <c r="I8" i="26" s="1"/>
  <c r="J8" i="26"/>
  <c r="A9" i="26"/>
  <c r="A10" i="26"/>
  <c r="A11" i="26"/>
  <c r="A12" i="26"/>
  <c r="A13" i="26"/>
  <c r="K12" i="26" l="1"/>
  <c r="K11" i="26"/>
  <c r="K26" i="26"/>
  <c r="K27" i="26"/>
  <c r="K22" i="26"/>
  <c r="K24" i="26"/>
  <c r="K23" i="26"/>
  <c r="K25" i="26"/>
  <c r="K28" i="26"/>
  <c r="K16" i="26"/>
  <c r="K18" i="26"/>
  <c r="K21" i="26"/>
  <c r="K17" i="26"/>
  <c r="K19" i="26"/>
  <c r="K20" i="26"/>
  <c r="K29" i="26"/>
  <c r="K15" i="26"/>
  <c r="K9" i="26"/>
  <c r="K14" i="26"/>
  <c r="K13" i="26"/>
  <c r="K10" i="26"/>
  <c r="K8" i="26"/>
  <c r="G31" i="26"/>
  <c r="E31" i="26"/>
  <c r="H31" i="26" l="1"/>
  <c r="I31" i="26"/>
  <c r="K31" i="26"/>
  <c r="L31" i="26" l="1"/>
  <c r="C49" i="25" l="1"/>
  <c r="N5" i="2" l="1"/>
  <c r="N4" i="2"/>
  <c r="N2" i="2" l="1"/>
  <c r="N13" i="2" l="1"/>
  <c r="N14" i="2" s="1"/>
  <c r="N15" i="2" s="1"/>
  <c r="HE18" i="6" l="1"/>
  <c r="HF22" i="6"/>
  <c r="HF24" i="6" s="1"/>
  <c r="HE22" i="6"/>
  <c r="HE24" i="6" s="1"/>
  <c r="X2" i="6" l="1"/>
  <c r="HT29" i="6" l="1"/>
  <c r="GV22" i="6" l="1"/>
  <c r="FP37" i="6" l="1"/>
  <c r="GF37" i="6" l="1"/>
  <c r="FX31" i="6"/>
  <c r="DL30" i="6" l="1"/>
  <c r="CV18" i="6" l="1"/>
  <c r="CN19" i="6" l="1"/>
  <c r="AY18" i="6" l="1"/>
  <c r="AI44" i="6" l="1"/>
  <c r="C44" i="6"/>
  <c r="K31" i="6"/>
  <c r="W15" i="6" l="1"/>
  <c r="X15" i="6" s="1"/>
  <c r="V15" i="6"/>
  <c r="F41" i="1" s="1"/>
  <c r="Y41" i="1" s="1"/>
  <c r="HH22" i="6" l="1"/>
  <c r="HH24" i="6" s="1"/>
  <c r="T17" i="6"/>
  <c r="DU24" i="6" l="1"/>
  <c r="HU29" i="6"/>
  <c r="HU30" i="6" s="1"/>
  <c r="HV29" i="6"/>
  <c r="HV30" i="6" s="1"/>
  <c r="HW29" i="6"/>
  <c r="HW30" i="6" s="1"/>
  <c r="U17" i="6"/>
  <c r="W14" i="6"/>
  <c r="E9" i="1"/>
  <c r="F9" i="1" l="1"/>
  <c r="N9" i="6"/>
  <c r="X14" i="6"/>
  <c r="X17" i="6" s="1"/>
  <c r="W17" i="6"/>
  <c r="DQ9" i="6"/>
  <c r="V9" i="6" l="1"/>
  <c r="Q2" i="22"/>
  <c r="HY2" i="6"/>
  <c r="HQ2" i="6"/>
  <c r="HI2" i="6"/>
  <c r="HA2" i="6"/>
  <c r="GS2" i="6"/>
  <c r="GK2" i="6"/>
  <c r="GA9" i="6"/>
  <c r="GC2" i="6"/>
  <c r="FU2" i="6"/>
  <c r="FM9" i="6"/>
  <c r="FM2" i="6"/>
  <c r="FE9" i="6"/>
  <c r="EU9" i="6"/>
  <c r="EW2" i="6"/>
  <c r="EM9" i="6"/>
  <c r="EO2" i="6"/>
  <c r="EE9" i="6"/>
  <c r="DY9" i="6"/>
  <c r="DW9" i="6"/>
  <c r="DO9" i="6"/>
  <c r="DI9" i="6"/>
  <c r="DG9" i="6"/>
  <c r="CC2" i="6" l="1"/>
  <c r="I2" i="2" l="1"/>
  <c r="D2" i="2"/>
  <c r="A2" i="2"/>
  <c r="A2" i="21"/>
  <c r="FU30" i="6" l="1"/>
  <c r="N21" i="6" l="1"/>
  <c r="AT17" i="1" l="1"/>
  <c r="C24" i="22"/>
  <c r="G19" i="22" l="1"/>
  <c r="H15" i="22"/>
  <c r="F15" i="22"/>
  <c r="AT51" i="1" l="1"/>
  <c r="A18" i="22"/>
  <c r="A19" i="22" s="1"/>
  <c r="A20" i="22" s="1"/>
  <c r="A21" i="22" s="1"/>
  <c r="A22" i="22" s="1"/>
  <c r="A23" i="22" s="1"/>
  <c r="A24" i="22" s="1"/>
  <c r="A25" i="22" s="1"/>
  <c r="A26" i="22" s="1"/>
  <c r="A15" i="22"/>
  <c r="A16" i="22" s="1"/>
  <c r="A8" i="22"/>
  <c r="A7" i="22"/>
  <c r="A5" i="22"/>
  <c r="H2" i="22"/>
  <c r="EP15" i="6" l="1"/>
  <c r="EP16" i="6" s="1"/>
  <c r="EP17" i="6" s="1"/>
  <c r="EP18" i="6" s="1"/>
  <c r="EP19" i="6" s="1"/>
  <c r="EP20" i="6" s="1"/>
  <c r="EP21" i="6" s="1"/>
  <c r="EP22" i="6" s="1"/>
  <c r="EP23" i="6" s="1"/>
  <c r="EP24" i="6" s="1"/>
  <c r="EP25" i="6" s="1"/>
  <c r="EP26" i="6" s="1"/>
  <c r="EP27" i="6" s="1"/>
  <c r="EP28" i="6" s="1"/>
  <c r="EP29" i="6" s="1"/>
  <c r="EP30" i="6" s="1"/>
  <c r="EP31" i="6" s="1"/>
  <c r="AL9" i="1" l="1"/>
  <c r="AM9" i="1" l="1"/>
  <c r="FU9" i="6"/>
  <c r="AN9" i="1" l="1"/>
  <c r="GC9" i="6"/>
  <c r="AO9" i="1" l="1"/>
  <c r="GK9" i="6"/>
  <c r="AP9" i="1" l="1"/>
  <c r="GS9" i="6"/>
  <c r="AQ9" i="1" l="1"/>
  <c r="HA9" i="6"/>
  <c r="HI9" i="6" l="1"/>
  <c r="AM23" i="6"/>
  <c r="AN23" i="6" s="1"/>
  <c r="AM34" i="6" l="1"/>
  <c r="AN34" i="6" s="1"/>
  <c r="AL34" i="6" l="1"/>
  <c r="GC17" i="6" l="1"/>
  <c r="GC22" i="6"/>
  <c r="GC25" i="6"/>
  <c r="GC16" i="6"/>
  <c r="GC24" i="6"/>
  <c r="W57" i="1"/>
  <c r="W25" i="1"/>
  <c r="W46" i="1" l="1"/>
  <c r="W72" i="1" s="1"/>
  <c r="W75" i="1" s="1"/>
  <c r="GA25" i="6"/>
  <c r="GA24" i="6" l="1"/>
  <c r="GC15" i="6" l="1"/>
  <c r="AM39" i="6" l="1"/>
  <c r="AN39" i="6" s="1"/>
  <c r="AL39" i="6" l="1"/>
  <c r="AM40" i="6" l="1"/>
  <c r="AN40" i="6" s="1"/>
  <c r="AM38" i="6"/>
  <c r="AN38" i="6" s="1"/>
  <c r="AM37" i="6"/>
  <c r="AN37" i="6" s="1"/>
  <c r="AM36" i="6"/>
  <c r="AN36" i="6" s="1"/>
  <c r="AM35" i="6"/>
  <c r="AN35" i="6" s="1"/>
  <c r="AM24" i="6"/>
  <c r="AN24" i="6" s="1"/>
  <c r="AM22" i="6"/>
  <c r="AN22" i="6" s="1"/>
  <c r="AM21" i="6"/>
  <c r="AN21" i="6" s="1"/>
  <c r="AM20" i="6"/>
  <c r="AN20" i="6" s="1"/>
  <c r="AM19" i="6"/>
  <c r="AN19" i="6" s="1"/>
  <c r="AM18" i="6"/>
  <c r="AN18" i="6" s="1"/>
  <c r="AM17" i="6"/>
  <c r="AN17" i="6" s="1"/>
  <c r="AM16" i="6"/>
  <c r="AN16" i="6" s="1"/>
  <c r="AM15" i="6"/>
  <c r="AN15" i="6" s="1"/>
  <c r="HV25" i="6" l="1"/>
  <c r="HU25" i="6"/>
  <c r="HW25" i="6"/>
  <c r="HU19" i="6"/>
  <c r="HU21" i="6" s="1"/>
  <c r="HW19" i="6"/>
  <c r="HW21" i="6" s="1"/>
  <c r="HV19" i="6"/>
  <c r="HV21" i="6" s="1"/>
  <c r="HD26" i="6" l="1"/>
  <c r="HG21" i="6"/>
  <c r="HG22" i="6" s="1"/>
  <c r="HG24" i="6" s="1"/>
  <c r="HF17" i="6"/>
  <c r="HG17" i="6" s="1"/>
  <c r="HF16" i="6"/>
  <c r="HG16" i="6" s="1"/>
  <c r="HF15" i="6"/>
  <c r="HG26" i="6" l="1"/>
  <c r="HG27" i="6" s="1"/>
  <c r="HG15" i="6"/>
  <c r="HG18" i="6" s="1"/>
  <c r="HF18" i="6"/>
  <c r="HE26" i="6"/>
  <c r="HE27" i="6" s="1"/>
  <c r="HF26" i="6"/>
  <c r="HF27" i="6" s="1"/>
  <c r="HH26" i="6"/>
  <c r="HH27" i="6" s="1"/>
  <c r="HI21" i="6"/>
  <c r="HI22" i="6" s="1"/>
  <c r="HI24" i="6" s="1"/>
  <c r="HI26" i="6" s="1"/>
  <c r="HI17" i="6"/>
  <c r="AQ54" i="1" s="1"/>
  <c r="HH18" i="6"/>
  <c r="HI16" i="6"/>
  <c r="AQ52" i="1" s="1"/>
  <c r="HI15" i="6" l="1"/>
  <c r="AQ51" i="1" s="1"/>
  <c r="AQ34" i="1"/>
  <c r="HI27" i="6"/>
  <c r="AQ40" i="1"/>
  <c r="C39" i="6"/>
  <c r="H37" i="6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HI18" i="6" l="1"/>
  <c r="GI38" i="6"/>
  <c r="GG37" i="6"/>
  <c r="GI33" i="6"/>
  <c r="GI25" i="6"/>
  <c r="GI19" i="6"/>
  <c r="GD15" i="6"/>
  <c r="GD16" i="6" s="1"/>
  <c r="GD17" i="6" s="1"/>
  <c r="GD18" i="6" s="1"/>
  <c r="GD19" i="6" s="1"/>
  <c r="GD20" i="6" s="1"/>
  <c r="GD21" i="6" s="1"/>
  <c r="GD22" i="6" s="1"/>
  <c r="GD23" i="6" s="1"/>
  <c r="GD24" i="6" s="1"/>
  <c r="GD25" i="6" s="1"/>
  <c r="GD26" i="6" s="1"/>
  <c r="GD27" i="6" s="1"/>
  <c r="GD28" i="6" s="1"/>
  <c r="GD29" i="6" s="1"/>
  <c r="GD30" i="6" s="1"/>
  <c r="GD31" i="6" s="1"/>
  <c r="GD32" i="6" s="1"/>
  <c r="GD33" i="6" s="1"/>
  <c r="GD34" i="6" s="1"/>
  <c r="GD35" i="6" s="1"/>
  <c r="GD36" i="6" s="1"/>
  <c r="GD37" i="6" s="1"/>
  <c r="GD38" i="6" s="1"/>
  <c r="GI27" i="6" l="1"/>
  <c r="GH37" i="6"/>
  <c r="GH38" i="6" s="1"/>
  <c r="GH33" i="6"/>
  <c r="GH25" i="6"/>
  <c r="GG25" i="6"/>
  <c r="GH19" i="6"/>
  <c r="GG33" i="6"/>
  <c r="GG19" i="6"/>
  <c r="GG38" i="6"/>
  <c r="GZ20" i="6"/>
  <c r="GZ23" i="6" s="1"/>
  <c r="GX19" i="6"/>
  <c r="GZ16" i="6"/>
  <c r="GW16" i="6"/>
  <c r="GH27" i="6" l="1"/>
  <c r="GG27" i="6"/>
  <c r="GY19" i="6"/>
  <c r="GY20" i="6" s="1"/>
  <c r="GY23" i="6" s="1"/>
  <c r="GX20" i="6"/>
  <c r="GX23" i="6" s="1"/>
  <c r="GW20" i="6"/>
  <c r="GW23" i="6" s="1"/>
  <c r="HA19" i="6"/>
  <c r="HA20" i="6" s="1"/>
  <c r="GX15" i="6"/>
  <c r="HA23" i="6" l="1"/>
  <c r="AP41" i="1"/>
  <c r="GX16" i="6"/>
  <c r="GY15" i="6"/>
  <c r="GY16" i="6" s="1"/>
  <c r="HA15" i="6"/>
  <c r="HA16" i="6" s="1"/>
  <c r="AP53" i="1" s="1"/>
  <c r="E17" i="25" l="1"/>
  <c r="K25" i="6"/>
  <c r="I15" i="6"/>
  <c r="I16" i="6" s="1"/>
  <c r="I17" i="6" s="1"/>
  <c r="I18" i="6" l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5" i="2" l="1"/>
  <c r="I4" i="2"/>
  <c r="HO16" i="6" l="1"/>
  <c r="HO14" i="6" l="1"/>
  <c r="HQ16" i="6"/>
  <c r="AR29" i="1" s="1"/>
  <c r="HQ14" i="6"/>
  <c r="AR27" i="1" s="1"/>
  <c r="HQ17" i="6"/>
  <c r="AR30" i="1" s="1"/>
  <c r="HO17" i="6"/>
  <c r="HO15" i="6"/>
  <c r="HQ15" i="6"/>
  <c r="AR28" i="1" l="1"/>
  <c r="FR33" i="6"/>
  <c r="FQ33" i="6"/>
  <c r="FR24" i="6"/>
  <c r="FR26" i="6" s="1"/>
  <c r="FQ24" i="6"/>
  <c r="FQ26" i="6" s="1"/>
  <c r="FN15" i="6"/>
  <c r="FN16" i="6" s="1"/>
  <c r="FN17" i="6" s="1"/>
  <c r="FN18" i="6" s="1"/>
  <c r="FN19" i="6" s="1"/>
  <c r="FN20" i="6" s="1"/>
  <c r="FN21" i="6" s="1"/>
  <c r="FN22" i="6" s="1"/>
  <c r="FN23" i="6" s="1"/>
  <c r="FN24" i="6" s="1"/>
  <c r="FN25" i="6" s="1"/>
  <c r="FN26" i="6" s="1"/>
  <c r="FN27" i="6" s="1"/>
  <c r="FN28" i="6" s="1"/>
  <c r="FN29" i="6" l="1"/>
  <c r="FN30" i="6" s="1"/>
  <c r="FN31" i="6" s="1"/>
  <c r="FN32" i="6" s="1"/>
  <c r="FN33" i="6" s="1"/>
  <c r="FN34" i="6" s="1"/>
  <c r="FN35" i="6" s="1"/>
  <c r="FN36" i="6" s="1"/>
  <c r="FN37" i="6" s="1"/>
  <c r="FN38" i="6" s="1"/>
  <c r="FN39" i="6" s="1"/>
  <c r="FN40" i="6" s="1"/>
  <c r="FN41" i="6" s="1"/>
  <c r="FN42" i="6" s="1"/>
  <c r="FS24" i="6"/>
  <c r="FS33" i="6"/>
  <c r="FS19" i="6"/>
  <c r="FS26" i="6" l="1"/>
  <c r="HR15" i="6" l="1"/>
  <c r="HR16" i="6" s="1"/>
  <c r="HR17" i="6" s="1"/>
  <c r="HR18" i="6" s="1"/>
  <c r="HR19" i="6" s="1"/>
  <c r="HR20" i="6" s="1"/>
  <c r="HR21" i="6" s="1"/>
  <c r="HR22" i="6" s="1"/>
  <c r="HR23" i="6" s="1"/>
  <c r="HR24" i="6" s="1"/>
  <c r="HR25" i="6" s="1"/>
  <c r="HR26" i="6" s="1"/>
  <c r="HR27" i="6" s="1"/>
  <c r="HR28" i="6" s="1"/>
  <c r="HR29" i="6" s="1"/>
  <c r="HR30" i="6" s="1"/>
  <c r="HR8" i="6"/>
  <c r="HR7" i="6"/>
  <c r="HR5" i="6"/>
  <c r="HL21" i="6"/>
  <c r="HJ15" i="6"/>
  <c r="HJ16" i="6" s="1"/>
  <c r="HJ17" i="6" s="1"/>
  <c r="HJ18" i="6" s="1"/>
  <c r="HJ19" i="6" s="1"/>
  <c r="HJ20" i="6" s="1"/>
  <c r="HJ21" i="6" s="1"/>
  <c r="HJ22" i="6" s="1"/>
  <c r="HJ8" i="6"/>
  <c r="HJ7" i="6"/>
  <c r="HJ5" i="6"/>
  <c r="HB8" i="6"/>
  <c r="HB7" i="6"/>
  <c r="HB5" i="6"/>
  <c r="GT8" i="6"/>
  <c r="GT7" i="6"/>
  <c r="GT5" i="6"/>
  <c r="FV8" i="6"/>
  <c r="FV7" i="6"/>
  <c r="FV5" i="6"/>
  <c r="FN8" i="6"/>
  <c r="FN7" i="6"/>
  <c r="FN5" i="6"/>
  <c r="AS25" i="1" l="1"/>
  <c r="AS17" i="1"/>
  <c r="AB9" i="1" l="1"/>
  <c r="AA57" i="1"/>
  <c r="AA46" i="1" s="1"/>
  <c r="AA72" i="1" s="1"/>
  <c r="AA25" i="1"/>
  <c r="P9" i="6" l="1"/>
  <c r="GD8" i="6"/>
  <c r="GD7" i="6"/>
  <c r="GD5" i="6"/>
  <c r="AJ41" i="6" l="1"/>
  <c r="AL40" i="6"/>
  <c r="AL38" i="6"/>
  <c r="AL37" i="6"/>
  <c r="AL36" i="6"/>
  <c r="AL35" i="6"/>
  <c r="AM14" i="6"/>
  <c r="AN14" i="6" s="1"/>
  <c r="H31" i="1" l="1"/>
  <c r="H23" i="1"/>
  <c r="H32" i="1"/>
  <c r="Y32" i="1" s="1"/>
  <c r="AL41" i="6"/>
  <c r="AK41" i="6"/>
  <c r="AM41" i="6" l="1"/>
  <c r="C56" i="24" l="1"/>
  <c r="C38" i="24"/>
  <c r="C36" i="24"/>
  <c r="H25" i="24"/>
  <c r="C24" i="24"/>
  <c r="C22" i="24"/>
  <c r="C15" i="24"/>
  <c r="A14" i="24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5" i="24"/>
  <c r="A4" i="24"/>
  <c r="DT32" i="6" l="1"/>
  <c r="BX20" i="6" l="1"/>
  <c r="CG16" i="6" l="1"/>
  <c r="GP17" i="6" l="1"/>
  <c r="GO17" i="6"/>
  <c r="GN19" i="6"/>
  <c r="GL15" i="6"/>
  <c r="GL16" i="6" s="1"/>
  <c r="GL17" i="6" s="1"/>
  <c r="GL18" i="6" s="1"/>
  <c r="GL19" i="6" s="1"/>
  <c r="GL20" i="6" s="1"/>
  <c r="GL8" i="6"/>
  <c r="GL7" i="6"/>
  <c r="GL5" i="6"/>
  <c r="GP19" i="6" l="1"/>
  <c r="GO19" i="6"/>
  <c r="GO20" i="6" s="1"/>
  <c r="GQ15" i="6"/>
  <c r="GQ17" i="6" s="1"/>
  <c r="GQ19" i="6" l="1"/>
  <c r="GQ20" i="6" s="1"/>
  <c r="GP20" i="6"/>
  <c r="BV15" i="6" l="1"/>
  <c r="BV16" i="6" s="1"/>
  <c r="BV17" i="6" s="1"/>
  <c r="BV18" i="6" s="1"/>
  <c r="BV19" i="6" s="1"/>
  <c r="BV20" i="6" s="1"/>
  <c r="BV21" i="6" s="1"/>
  <c r="BV22" i="6" s="1"/>
  <c r="FL16" i="6" l="1"/>
  <c r="FJ16" i="6"/>
  <c r="FI16" i="6"/>
  <c r="FM15" i="6"/>
  <c r="FK15" i="6"/>
  <c r="FH18" i="6"/>
  <c r="FK16" i="6" l="1"/>
  <c r="FK18" i="6" s="1"/>
  <c r="FM16" i="6"/>
  <c r="FM18" i="6" s="1"/>
  <c r="AK37" i="1"/>
  <c r="FL18" i="6"/>
  <c r="FL19" i="6" s="1"/>
  <c r="FJ18" i="6"/>
  <c r="FJ19" i="6" s="1"/>
  <c r="FI18" i="6"/>
  <c r="FI19" i="6" s="1"/>
  <c r="R57" i="1"/>
  <c r="R46" i="1" s="1"/>
  <c r="R72" i="1" s="1"/>
  <c r="R75" i="1" s="1"/>
  <c r="R25" i="1"/>
  <c r="R17" i="1"/>
  <c r="S57" i="1"/>
  <c r="S46" i="1" s="1"/>
  <c r="S72" i="1" s="1"/>
  <c r="S75" i="1" s="1"/>
  <c r="S25" i="1"/>
  <c r="S17" i="1"/>
  <c r="E16" i="25" l="1"/>
  <c r="FM19" i="6"/>
  <c r="AK40" i="1"/>
  <c r="FK19" i="6"/>
  <c r="DR15" i="6" l="1"/>
  <c r="DR16" i="6" s="1"/>
  <c r="DR17" i="6" s="1"/>
  <c r="DR18" i="6" s="1"/>
  <c r="DR19" i="6" s="1"/>
  <c r="DR20" i="6" s="1"/>
  <c r="DR21" i="6" s="1"/>
  <c r="DR22" i="6" s="1"/>
  <c r="DR23" i="6" s="1"/>
  <c r="DR24" i="6" s="1"/>
  <c r="DR25" i="6" s="1"/>
  <c r="DR26" i="6" s="1"/>
  <c r="DR27" i="6" s="1"/>
  <c r="DR28" i="6" s="1"/>
  <c r="DR29" i="6" s="1"/>
  <c r="DR30" i="6" s="1"/>
  <c r="DR31" i="6" s="1"/>
  <c r="DR32" i="6" s="1"/>
  <c r="DR33" i="6" s="1"/>
  <c r="DR34" i="6" s="1"/>
  <c r="DJ15" i="6"/>
  <c r="DJ16" i="6" s="1"/>
  <c r="DJ17" i="6" s="1"/>
  <c r="DJ18" i="6" s="1"/>
  <c r="DJ19" i="6" s="1"/>
  <c r="DJ20" i="6" s="1"/>
  <c r="DJ21" i="6" s="1"/>
  <c r="DJ22" i="6" s="1"/>
  <c r="DJ23" i="6" s="1"/>
  <c r="DJ24" i="6" s="1"/>
  <c r="DJ25" i="6" s="1"/>
  <c r="DJ26" i="6" s="1"/>
  <c r="DJ27" i="6" s="1"/>
  <c r="DJ28" i="6" s="1"/>
  <c r="DJ29" i="6" s="1"/>
  <c r="DJ30" i="6" s="1"/>
  <c r="DJ31" i="6" s="1"/>
  <c r="Q15" i="6" l="1"/>
  <c r="Q16" i="6" s="1"/>
  <c r="Q17" i="6" s="1"/>
  <c r="Q57" i="1" l="1"/>
  <c r="Q46" i="1" s="1"/>
  <c r="Q72" i="1" s="1"/>
  <c r="Q75" i="1" s="1"/>
  <c r="Q25" i="1"/>
  <c r="Q17" i="1"/>
  <c r="Q138" i="1"/>
  <c r="Q141" i="1" s="1"/>
  <c r="Q137" i="1" l="1"/>
  <c r="Q140" i="1" s="1"/>
  <c r="DG15" i="6" l="1"/>
  <c r="DG14" i="6"/>
  <c r="T57" i="1"/>
  <c r="T46" i="1" s="1"/>
  <c r="T72" i="1" s="1"/>
  <c r="T75" i="1" s="1"/>
  <c r="T25" i="1"/>
  <c r="T17" i="1"/>
  <c r="ER25" i="6" l="1"/>
  <c r="EP8" i="6"/>
  <c r="EP7" i="6"/>
  <c r="EP5" i="6"/>
  <c r="L31" i="22" l="1"/>
  <c r="Q39" i="22" l="1"/>
  <c r="AU53" i="1" s="1"/>
  <c r="Q38" i="22"/>
  <c r="AU52" i="1" s="1"/>
  <c r="J20" i="22" l="1"/>
  <c r="J21" i="22" s="1"/>
  <c r="J22" i="22" s="1"/>
  <c r="J23" i="22" s="1"/>
  <c r="J24" i="22" s="1"/>
  <c r="J25" i="22" s="1"/>
  <c r="J26" i="22" s="1"/>
  <c r="J27" i="22" s="1"/>
  <c r="J28" i="22" s="1"/>
  <c r="J29" i="22" s="1"/>
  <c r="J30" i="22" s="1"/>
  <c r="J31" i="22" s="1"/>
  <c r="J32" i="22" s="1"/>
  <c r="J33" i="22" s="1"/>
  <c r="J34" i="22" s="1"/>
  <c r="J35" i="22" s="1"/>
  <c r="J36" i="22" s="1"/>
  <c r="J37" i="22" s="1"/>
  <c r="J38" i="22" s="1"/>
  <c r="J39" i="22" s="1"/>
  <c r="J40" i="22" s="1"/>
  <c r="J41" i="22" s="1"/>
  <c r="J18" i="22"/>
  <c r="J15" i="22"/>
  <c r="J16" i="22" s="1"/>
  <c r="J8" i="22"/>
  <c r="J7" i="22"/>
  <c r="J5" i="22"/>
  <c r="AR57" i="1" l="1"/>
  <c r="AR46" i="1" s="1"/>
  <c r="AR72" i="1" s="1"/>
  <c r="AR75" i="1" s="1"/>
  <c r="AR25" i="1"/>
  <c r="AR17" i="1"/>
  <c r="AE30" i="1" l="1"/>
  <c r="CR16" i="6" l="1"/>
  <c r="CL20" i="6"/>
  <c r="CL18" i="6"/>
  <c r="CL15" i="6"/>
  <c r="CL16" i="6" s="1"/>
  <c r="EX15" i="6"/>
  <c r="EX16" i="6" s="1"/>
  <c r="EX17" i="6" s="1"/>
  <c r="EX18" i="6" s="1"/>
  <c r="EX19" i="6" s="1"/>
  <c r="EX20" i="6" s="1"/>
  <c r="CR17" i="6" l="1"/>
  <c r="CS16" i="6"/>
  <c r="CS17" i="6" s="1"/>
  <c r="CP17" i="6"/>
  <c r="CP19" i="6" l="1"/>
  <c r="CR19" i="6" l="1"/>
  <c r="CP20" i="6"/>
  <c r="CS19" i="6" l="1"/>
  <c r="CS20" i="6" s="1"/>
  <c r="CR20" i="6"/>
  <c r="AG14" i="6" l="1"/>
  <c r="AG15" i="6" s="1"/>
  <c r="AG16" i="6" s="1"/>
  <c r="AG17" i="6" s="1"/>
  <c r="AG18" i="6" s="1"/>
  <c r="AG19" i="6" s="1"/>
  <c r="AG20" i="6" s="1"/>
  <c r="AG21" i="6" s="1"/>
  <c r="AG22" i="6" s="1"/>
  <c r="AG23" i="6" l="1"/>
  <c r="AG24" i="6" s="1"/>
  <c r="AG25" i="6" s="1"/>
  <c r="AG26" i="6" s="1"/>
  <c r="AG27" i="6" s="1"/>
  <c r="AG28" i="6" s="1"/>
  <c r="AG29" i="6" s="1"/>
  <c r="AG30" i="6" s="1"/>
  <c r="AG31" i="6" s="1"/>
  <c r="AG32" i="6" s="1"/>
  <c r="AG33" i="6" s="1"/>
  <c r="AG34" i="6" s="1"/>
  <c r="AG35" i="6" s="1"/>
  <c r="AG36" i="6" s="1"/>
  <c r="AG37" i="6" s="1"/>
  <c r="AG38" i="6" s="1"/>
  <c r="AN41" i="6"/>
  <c r="AG40" i="6" l="1"/>
  <c r="AG41" i="6" s="1"/>
  <c r="AG42" i="6" s="1"/>
  <c r="AG43" i="6" s="1"/>
  <c r="AG44" i="6" s="1"/>
  <c r="AG45" i="6" s="1"/>
  <c r="AG39" i="6"/>
  <c r="G41" i="1"/>
  <c r="L23" i="22" l="1"/>
  <c r="P23" i="22" l="1"/>
  <c r="AI29" i="6"/>
  <c r="EN19" i="6" l="1"/>
  <c r="EO19" i="6" l="1"/>
  <c r="EM19" i="6"/>
  <c r="EH8" i="6"/>
  <c r="EH7" i="6"/>
  <c r="EH5" i="6"/>
  <c r="EH15" i="6"/>
  <c r="EH16" i="6" l="1"/>
  <c r="EH17" i="6" s="1"/>
  <c r="EH18" i="6" s="1"/>
  <c r="EH19" i="6" s="1"/>
  <c r="EH20" i="6" s="1"/>
  <c r="FB17" i="6"/>
  <c r="FB19" i="6" s="1"/>
  <c r="FA17" i="6"/>
  <c r="FA19" i="6" s="1"/>
  <c r="FE15" i="6" l="1"/>
  <c r="FE17" i="6" s="1"/>
  <c r="AJ37" i="1" s="1"/>
  <c r="FD17" i="6"/>
  <c r="FD19" i="6" s="1"/>
  <c r="FC15" i="6"/>
  <c r="FC17" i="6" s="1"/>
  <c r="FC19" i="6" s="1"/>
  <c r="FA20" i="6"/>
  <c r="FB20" i="6"/>
  <c r="E15" i="25" l="1"/>
  <c r="FD20" i="6"/>
  <c r="FC20" i="6"/>
  <c r="FE19" i="6"/>
  <c r="AJ40" i="1" s="1"/>
  <c r="E49" i="25" l="1"/>
  <c r="FE20" i="6"/>
  <c r="D16" i="21" l="1"/>
  <c r="A12" i="21"/>
  <c r="A13" i="21" s="1"/>
  <c r="A14" i="21" s="1"/>
  <c r="A15" i="21" s="1"/>
  <c r="A16" i="21" s="1"/>
  <c r="A17" i="21" s="1"/>
  <c r="D15" i="21"/>
  <c r="A5" i="21"/>
  <c r="A4" i="21"/>
  <c r="E12" i="21" l="1"/>
  <c r="E11" i="21"/>
  <c r="AC18" i="6" s="1"/>
  <c r="C13" i="21"/>
  <c r="C15" i="21"/>
  <c r="C16" i="21"/>
  <c r="E16" i="21" s="1"/>
  <c r="E15" i="21" l="1"/>
  <c r="E17" i="21" s="1"/>
  <c r="E13" i="21"/>
  <c r="G59" i="1" s="1"/>
  <c r="C17" i="21"/>
  <c r="DE16" i="6" l="1"/>
  <c r="DI14" i="6"/>
  <c r="DI15" i="6"/>
  <c r="DF16" i="6"/>
  <c r="DG16" i="6" l="1"/>
  <c r="Q33" i="1" s="1"/>
  <c r="A4" i="1"/>
  <c r="P57" i="1" l="1"/>
  <c r="P46" i="1" s="1"/>
  <c r="P72" i="1" s="1"/>
  <c r="P75" i="1" s="1"/>
  <c r="P25" i="1"/>
  <c r="P17" i="1"/>
  <c r="V25" i="1" l="1"/>
  <c r="V17" i="1"/>
  <c r="A5" i="1" l="1"/>
  <c r="BF15" i="6" l="1"/>
  <c r="BF16" i="6" s="1"/>
  <c r="BF17" i="6" s="1"/>
  <c r="BF18" i="6" s="1"/>
  <c r="BF19" i="6" s="1"/>
  <c r="BF20" i="6" s="1"/>
  <c r="BF21" i="6" s="1"/>
  <c r="BF22" i="6" s="1"/>
  <c r="BF23" i="6" s="1"/>
  <c r="BF24" i="6" s="1"/>
  <c r="BF25" i="6" s="1"/>
  <c r="BF26" i="6" s="1"/>
  <c r="BF27" i="6" s="1"/>
  <c r="BF28" i="6" s="1"/>
  <c r="BF29" i="6" s="1"/>
  <c r="BF30" i="6" s="1"/>
  <c r="BP19" i="6" l="1"/>
  <c r="AQ19" i="6" l="1"/>
  <c r="AU14" i="6"/>
  <c r="AO15" i="6"/>
  <c r="AO16" i="6" s="1"/>
  <c r="AO17" i="6" s="1"/>
  <c r="AO18" i="6" s="1"/>
  <c r="AO19" i="6" s="1"/>
  <c r="AO20" i="6" s="1"/>
  <c r="AO21" i="6" s="1"/>
  <c r="AW15" i="6"/>
  <c r="AW16" i="6" s="1"/>
  <c r="AW17" i="6" s="1"/>
  <c r="AW18" i="6" s="1"/>
  <c r="AW19" i="6" s="1"/>
  <c r="AV14" i="6" l="1"/>
  <c r="AT14" i="6"/>
  <c r="CT15" i="6" l="1"/>
  <c r="CT16" i="6" s="1"/>
  <c r="CT17" i="6" s="1"/>
  <c r="CT18" i="6" s="1"/>
  <c r="CT19" i="6" s="1"/>
  <c r="AQ57" i="1" l="1"/>
  <c r="AQ25" i="1"/>
  <c r="AQ42" i="1" s="1"/>
  <c r="AQ17" i="1"/>
  <c r="AP57" i="1"/>
  <c r="AP25" i="1"/>
  <c r="AP42" i="1" s="1"/>
  <c r="AP17" i="1"/>
  <c r="AO57" i="1"/>
  <c r="AO46" i="1" s="1"/>
  <c r="AO72" i="1" s="1"/>
  <c r="AO75" i="1" s="1"/>
  <c r="AO25" i="1"/>
  <c r="AO17" i="1"/>
  <c r="GZ1" i="6" l="1"/>
  <c r="AQ46" i="1"/>
  <c r="HH1" i="6"/>
  <c r="AP46" i="1"/>
  <c r="AQ44" i="1"/>
  <c r="AP44" i="1"/>
  <c r="AQ72" i="1" l="1"/>
  <c r="AQ75" i="1" s="1"/>
  <c r="AP72" i="1"/>
  <c r="AP75" i="1" s="1"/>
  <c r="EG9" i="6"/>
  <c r="AQ71" i="1"/>
  <c r="AQ74" i="1" s="1"/>
  <c r="AP71" i="1"/>
  <c r="AP74" i="1" s="1"/>
  <c r="HA1" i="6"/>
  <c r="HI1" i="6"/>
  <c r="AE25" i="1" l="1"/>
  <c r="AD25" i="1"/>
  <c r="AE17" i="1"/>
  <c r="AD17" i="1"/>
  <c r="AE43" i="1"/>
  <c r="AD43" i="1"/>
  <c r="AD57" i="1"/>
  <c r="AD46" i="1" s="1"/>
  <c r="AD72" i="1" s="1"/>
  <c r="AD75" i="1" s="1"/>
  <c r="AE57" i="1"/>
  <c r="AE46" i="1" s="1"/>
  <c r="AE72" i="1" s="1"/>
  <c r="AE75" i="1" s="1"/>
  <c r="AV55" i="1" l="1"/>
  <c r="F55" i="24" s="1"/>
  <c r="AV41" i="1"/>
  <c r="F41" i="24" s="1"/>
  <c r="AV38" i="1"/>
  <c r="F38" i="24" s="1"/>
  <c r="AV36" i="1"/>
  <c r="F36" i="24" s="1"/>
  <c r="AV32" i="1"/>
  <c r="F32" i="24" s="1"/>
  <c r="AV28" i="1"/>
  <c r="F28" i="24" s="1"/>
  <c r="AV24" i="1"/>
  <c r="F24" i="24" s="1"/>
  <c r="AV15" i="1"/>
  <c r="F15" i="24" s="1"/>
  <c r="AK57" i="1"/>
  <c r="AK46" i="1" s="1"/>
  <c r="AK72" i="1" s="1"/>
  <c r="AK75" i="1" s="1"/>
  <c r="AI57" i="1"/>
  <c r="AI46" i="1" s="1"/>
  <c r="AI72" i="1" s="1"/>
  <c r="AI75" i="1" s="1"/>
  <c r="AH57" i="1"/>
  <c r="AH46" i="1" s="1"/>
  <c r="AH72" i="1" s="1"/>
  <c r="AH75" i="1" s="1"/>
  <c r="AG57" i="1"/>
  <c r="AG46" i="1" s="1"/>
  <c r="AG72" i="1" s="1"/>
  <c r="AG75" i="1" s="1"/>
  <c r="AF57" i="1"/>
  <c r="AF46" i="1" s="1"/>
  <c r="AF72" i="1" s="1"/>
  <c r="AF75" i="1" s="1"/>
  <c r="AJ57" i="1"/>
  <c r="AJ46" i="1" s="1"/>
  <c r="AJ72" i="1" s="1"/>
  <c r="AJ75" i="1" s="1"/>
  <c r="AC57" i="1"/>
  <c r="AC46" i="1" s="1"/>
  <c r="AC72" i="1" s="1"/>
  <c r="AC75" i="1" s="1"/>
  <c r="AB57" i="1"/>
  <c r="AB46" i="1" s="1"/>
  <c r="AB72" i="1" s="1"/>
  <c r="AB75" i="1" s="1"/>
  <c r="AN25" i="1"/>
  <c r="AM25" i="1"/>
  <c r="AL25" i="1"/>
  <c r="AK25" i="1"/>
  <c r="AK42" i="1" s="1"/>
  <c r="AI25" i="1"/>
  <c r="AH25" i="1"/>
  <c r="AG25" i="1"/>
  <c r="AF25" i="1"/>
  <c r="AJ25" i="1"/>
  <c r="AJ42" i="1" s="1"/>
  <c r="AC25" i="1"/>
  <c r="AN17" i="1"/>
  <c r="AM17" i="1"/>
  <c r="AL17" i="1"/>
  <c r="AK17" i="1"/>
  <c r="AI17" i="1"/>
  <c r="AH17" i="1"/>
  <c r="AG17" i="1"/>
  <c r="AF17" i="1"/>
  <c r="AJ17" i="1"/>
  <c r="AC17" i="1"/>
  <c r="AK44" i="1" l="1"/>
  <c r="AJ44" i="1"/>
  <c r="AK71" i="1" l="1"/>
  <c r="AK74" i="1" s="1"/>
  <c r="AJ71" i="1"/>
  <c r="AJ74" i="1" s="1"/>
  <c r="FM1" i="6"/>
  <c r="FE1" i="6"/>
  <c r="G17" i="2" l="1"/>
  <c r="L19" i="2" l="1"/>
  <c r="D6" i="25" s="1"/>
  <c r="EB23" i="6" l="1"/>
  <c r="FF8" i="6"/>
  <c r="FF7" i="6"/>
  <c r="FF5" i="6"/>
  <c r="FF15" i="6"/>
  <c r="FF16" i="6" s="1"/>
  <c r="FF17" i="6" s="1"/>
  <c r="FF18" i="6" s="1"/>
  <c r="FF19" i="6" s="1"/>
  <c r="D56" i="24" l="1"/>
  <c r="E56" i="24" s="1"/>
  <c r="D36" i="24"/>
  <c r="E36" i="24" s="1"/>
  <c r="G36" i="24" s="1"/>
  <c r="I36" i="24" s="1"/>
  <c r="D32" i="24"/>
  <c r="D15" i="24"/>
  <c r="E15" i="24" s="1"/>
  <c r="G15" i="24" s="1"/>
  <c r="I15" i="24" s="1"/>
  <c r="U25" i="1"/>
  <c r="U17" i="1"/>
  <c r="Z15" i="1" l="1"/>
  <c r="U42" i="1"/>
  <c r="F17" i="1"/>
  <c r="G17" i="1"/>
  <c r="I17" i="1"/>
  <c r="J17" i="1"/>
  <c r="K17" i="1"/>
  <c r="L17" i="1"/>
  <c r="M17" i="1"/>
  <c r="N17" i="1"/>
  <c r="O17" i="1"/>
  <c r="AW15" i="1" l="1"/>
  <c r="U44" i="1"/>
  <c r="U71" i="1" l="1"/>
  <c r="U74" i="1" s="1"/>
  <c r="H13" i="2"/>
  <c r="D24" i="24" l="1"/>
  <c r="E24" i="24" s="1"/>
  <c r="G24" i="24" s="1"/>
  <c r="I24" i="24" s="1"/>
  <c r="D5" i="2"/>
  <c r="D4" i="2"/>
  <c r="EG2" i="6" l="1"/>
  <c r="DY2" i="6"/>
  <c r="DQ2" i="6"/>
  <c r="DA2" i="6"/>
  <c r="DI2" i="6"/>
  <c r="FE2" i="6"/>
  <c r="CS2" i="6"/>
  <c r="CK2" i="6"/>
  <c r="BU2" i="6"/>
  <c r="BM2" i="6"/>
  <c r="BE2" i="6"/>
  <c r="AV2" i="6"/>
  <c r="AF2" i="6"/>
  <c r="AN2" i="6"/>
  <c r="H2" i="6"/>
  <c r="DZ8" i="6"/>
  <c r="DZ7" i="6"/>
  <c r="DZ5" i="6"/>
  <c r="DR8" i="6" l="1"/>
  <c r="DR7" i="6"/>
  <c r="DR5" i="6"/>
  <c r="DJ8" i="6"/>
  <c r="DJ7" i="6"/>
  <c r="DJ5" i="6"/>
  <c r="CT8" i="6"/>
  <c r="CT7" i="6"/>
  <c r="CT5" i="6"/>
  <c r="DD18" i="6"/>
  <c r="DH16" i="6"/>
  <c r="DB15" i="6"/>
  <c r="DB16" i="6" s="1"/>
  <c r="DB17" i="6" s="1"/>
  <c r="DB18" i="6" s="1"/>
  <c r="DB19" i="6" s="1"/>
  <c r="DB8" i="6"/>
  <c r="DB7" i="6"/>
  <c r="DB5" i="6"/>
  <c r="EX8" i="6"/>
  <c r="EX7" i="6"/>
  <c r="EX5" i="6"/>
  <c r="CL8" i="6"/>
  <c r="CL7" i="6"/>
  <c r="CL5" i="6"/>
  <c r="CD15" i="6"/>
  <c r="CD16" i="6" s="1"/>
  <c r="CD8" i="6"/>
  <c r="CD7" i="6"/>
  <c r="CD5" i="6"/>
  <c r="BV5" i="6"/>
  <c r="BV8" i="6"/>
  <c r="BV7" i="6"/>
  <c r="BN8" i="6"/>
  <c r="BN7" i="6"/>
  <c r="BN5" i="6"/>
  <c r="BF8" i="6"/>
  <c r="BF7" i="6"/>
  <c r="BF5" i="6"/>
  <c r="AW8" i="6"/>
  <c r="AW7" i="6"/>
  <c r="AW5" i="6"/>
  <c r="AO8" i="6"/>
  <c r="AO7" i="6"/>
  <c r="AO5" i="6"/>
  <c r="Y8" i="6"/>
  <c r="Y7" i="6"/>
  <c r="Y5" i="6"/>
  <c r="AA21" i="6"/>
  <c r="AB21" i="6" l="1"/>
  <c r="AB22" i="6" s="1"/>
  <c r="DE18" i="6"/>
  <c r="DE19" i="6" s="1"/>
  <c r="DF18" i="6"/>
  <c r="DF19" i="6" s="1"/>
  <c r="DG18" i="6"/>
  <c r="DH18" i="6"/>
  <c r="DH19" i="6" s="1"/>
  <c r="DI16" i="6"/>
  <c r="AF33" i="1" s="1"/>
  <c r="D37" i="24"/>
  <c r="Y15" i="6"/>
  <c r="Y16" i="6" s="1"/>
  <c r="Y17" i="6" s="1"/>
  <c r="Y18" i="6" s="1"/>
  <c r="Y19" i="6" s="1"/>
  <c r="Y20" i="6" s="1"/>
  <c r="Y21" i="6" s="1"/>
  <c r="Y22" i="6" s="1"/>
  <c r="Q8" i="6"/>
  <c r="Q7" i="6"/>
  <c r="Q5" i="6"/>
  <c r="DG19" i="6" l="1"/>
  <c r="Q40" i="1"/>
  <c r="DI18" i="6"/>
  <c r="AG8" i="6"/>
  <c r="AG7" i="6"/>
  <c r="AG5" i="6"/>
  <c r="A8" i="6"/>
  <c r="A7" i="6"/>
  <c r="A5" i="6"/>
  <c r="P2" i="6"/>
  <c r="AF40" i="1" l="1"/>
  <c r="Q42" i="1"/>
  <c r="Q44" i="1" s="1"/>
  <c r="DI19" i="6"/>
  <c r="I8" i="6"/>
  <c r="I7" i="6"/>
  <c r="I5" i="6"/>
  <c r="Q71" i="1" l="1"/>
  <c r="Q74" i="1" s="1"/>
  <c r="AF42" i="1"/>
  <c r="AF44" i="1" s="1"/>
  <c r="AF71" i="1" l="1"/>
  <c r="AF74" i="1" s="1"/>
  <c r="DG1" i="6"/>
  <c r="D38" i="24"/>
  <c r="E38" i="24" s="1"/>
  <c r="G38" i="24" s="1"/>
  <c r="I38" i="24" s="1"/>
  <c r="I13" i="2"/>
  <c r="I14" i="2" s="1"/>
  <c r="I15" i="2" s="1"/>
  <c r="I16" i="2" s="1"/>
  <c r="I17" i="2" s="1"/>
  <c r="I18" i="2" s="1"/>
  <c r="I19" i="2" s="1"/>
  <c r="I20" i="2" s="1"/>
  <c r="F17" i="2"/>
  <c r="H17" i="2" s="1"/>
  <c r="F16" i="2"/>
  <c r="F14" i="2"/>
  <c r="D13" i="2"/>
  <c r="D14" i="2" s="1"/>
  <c r="D15" i="2" s="1"/>
  <c r="D16" i="2" s="1"/>
  <c r="D17" i="2" s="1"/>
  <c r="D18" i="2" s="1"/>
  <c r="D41" i="24" l="1"/>
  <c r="F18" i="2"/>
  <c r="J18" i="2"/>
  <c r="J20" i="2"/>
  <c r="J19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5" i="2"/>
  <c r="A4" i="2"/>
  <c r="E57" i="1"/>
  <c r="E46" i="1" s="1"/>
  <c r="E72" i="1" s="1"/>
  <c r="E75" i="1" s="1"/>
  <c r="D57" i="1"/>
  <c r="D46" i="1" s="1"/>
  <c r="D72" i="1" s="1"/>
  <c r="D75" i="1" s="1"/>
  <c r="H57" i="1"/>
  <c r="H46" i="1" s="1"/>
  <c r="H72" i="1" s="1"/>
  <c r="H75" i="1" s="1"/>
  <c r="F57" i="1"/>
  <c r="F46" i="1" s="1"/>
  <c r="F72" i="1" s="1"/>
  <c r="F75" i="1" s="1"/>
  <c r="G57" i="1"/>
  <c r="G46" i="1" s="1"/>
  <c r="G72" i="1" s="1"/>
  <c r="G75" i="1" s="1"/>
  <c r="I57" i="1"/>
  <c r="I46" i="1" s="1"/>
  <c r="I72" i="1" s="1"/>
  <c r="I75" i="1" s="1"/>
  <c r="J57" i="1"/>
  <c r="J46" i="1" s="1"/>
  <c r="J72" i="1" s="1"/>
  <c r="J75" i="1" s="1"/>
  <c r="K57" i="1"/>
  <c r="K46" i="1" s="1"/>
  <c r="K72" i="1" s="1"/>
  <c r="K75" i="1" s="1"/>
  <c r="L57" i="1"/>
  <c r="L46" i="1" s="1"/>
  <c r="L72" i="1" s="1"/>
  <c r="L75" i="1" s="1"/>
  <c r="M57" i="1"/>
  <c r="M46" i="1" s="1"/>
  <c r="M72" i="1" s="1"/>
  <c r="M75" i="1" s="1"/>
  <c r="N57" i="1"/>
  <c r="N46" i="1" s="1"/>
  <c r="N72" i="1" s="1"/>
  <c r="N75" i="1" s="1"/>
  <c r="O57" i="1"/>
  <c r="O46" i="1" s="1"/>
  <c r="O72" i="1" s="1"/>
  <c r="O75" i="1" s="1"/>
  <c r="O25" i="1"/>
  <c r="N25" i="1"/>
  <c r="M25" i="1"/>
  <c r="L25" i="1"/>
  <c r="K25" i="1"/>
  <c r="J25" i="1"/>
  <c r="I25" i="1"/>
  <c r="G25" i="1"/>
  <c r="F25" i="1"/>
  <c r="H25" i="1"/>
  <c r="E2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A9" i="1" l="1"/>
  <c r="F9" i="6"/>
  <c r="Z24" i="1"/>
  <c r="AW24" i="1" s="1"/>
  <c r="Z38" i="1"/>
  <c r="AW38" i="1" s="1"/>
  <c r="Z36" i="1"/>
  <c r="Z56" i="1"/>
  <c r="AW36" i="1" l="1"/>
  <c r="H9" i="6"/>
  <c r="G9" i="1"/>
  <c r="AC9" i="1" l="1"/>
  <c r="AD9" i="6"/>
  <c r="H9" i="1"/>
  <c r="AL9" i="6" l="1"/>
  <c r="AF9" i="6"/>
  <c r="I9" i="1"/>
  <c r="AT9" i="6" l="1"/>
  <c r="J9" i="1"/>
  <c r="BB9" i="6" l="1"/>
  <c r="K9" i="1"/>
  <c r="BK9" i="6" l="1"/>
  <c r="L9" i="1"/>
  <c r="AD9" i="1" l="1"/>
  <c r="BS9" i="6"/>
  <c r="M9" i="1"/>
  <c r="BU9" i="6" l="1"/>
  <c r="AE9" i="1"/>
  <c r="CA9" i="6"/>
  <c r="N9" i="1"/>
  <c r="CC9" i="6" l="1"/>
  <c r="CI9" i="6"/>
  <c r="O9" i="1"/>
  <c r="P9" i="1" l="1"/>
  <c r="CQ9" i="6"/>
  <c r="AV22" i="1"/>
  <c r="F22" i="24" s="1"/>
  <c r="CY9" i="6" l="1"/>
  <c r="AR9" i="1"/>
  <c r="AS9" i="1" l="1"/>
  <c r="HQ9" i="6"/>
  <c r="D22" i="24"/>
  <c r="E22" i="24" l="1"/>
  <c r="Z22" i="1"/>
  <c r="AW22" i="1" s="1"/>
  <c r="G22" i="24" l="1"/>
  <c r="AU25" i="1"/>
  <c r="I22" i="24" l="1"/>
  <c r="BU15" i="6" l="1"/>
  <c r="AD33" i="1" s="1"/>
  <c r="BS15" i="6"/>
  <c r="L33" i="1" s="1"/>
  <c r="AK25" i="6" l="1"/>
  <c r="AK29" i="6" l="1"/>
  <c r="AM29" i="6" s="1"/>
  <c r="AN29" i="6" s="1"/>
  <c r="AN25" i="6"/>
  <c r="AM25" i="6"/>
  <c r="GR17" i="6" l="1"/>
  <c r="GR19" i="6" s="1"/>
  <c r="GR20" i="6" s="1"/>
  <c r="GS15" i="6"/>
  <c r="GS17" i="6" l="1"/>
  <c r="AO30" i="1"/>
  <c r="GS19" i="6" l="1"/>
  <c r="AO40" i="1" s="1"/>
  <c r="GS20" i="6" l="1"/>
  <c r="AO42" i="1"/>
  <c r="AO44" i="1" s="1"/>
  <c r="AO71" i="1" l="1"/>
  <c r="AO74" i="1" s="1"/>
  <c r="GS1" i="6"/>
  <c r="M41" i="22" l="1"/>
  <c r="M20" i="22"/>
  <c r="N18" i="22"/>
  <c r="Q37" i="22"/>
  <c r="P41" i="22"/>
  <c r="AU51" i="1" l="1"/>
  <c r="Q41" i="22"/>
  <c r="N20" i="22"/>
  <c r="O18" i="22"/>
  <c r="O20" i="22" s="1"/>
  <c r="O41" i="22"/>
  <c r="N41" i="22"/>
  <c r="P20" i="22"/>
  <c r="Q18" i="22"/>
  <c r="AU34" i="1" l="1"/>
  <c r="Q20" i="22"/>
  <c r="AU57" i="1"/>
  <c r="P1" i="22" l="1"/>
  <c r="AU46" i="1"/>
  <c r="AU72" i="1" l="1"/>
  <c r="AU75" i="1" s="1"/>
  <c r="AM51" i="1"/>
  <c r="AM53" i="1"/>
  <c r="AM52" i="1" l="1"/>
  <c r="AM57" i="1" l="1"/>
  <c r="AM46" i="1" l="1"/>
  <c r="AM72" i="1" s="1"/>
  <c r="AM75" i="1" s="1"/>
  <c r="GA22" i="6"/>
  <c r="W17" i="1" l="1"/>
  <c r="GA17" i="6" l="1"/>
  <c r="CJ14" i="6" l="1"/>
  <c r="CI14" i="6"/>
  <c r="CH16" i="6"/>
  <c r="CI16" i="6" l="1"/>
  <c r="N30" i="1"/>
  <c r="CJ16" i="6"/>
  <c r="CK14" i="6"/>
  <c r="CK16" i="6" s="1"/>
  <c r="N42" i="1" l="1"/>
  <c r="N44" i="1" s="1"/>
  <c r="N71" i="1" l="1"/>
  <c r="N74" i="1" s="1"/>
  <c r="CI1" i="6"/>
  <c r="EV20" i="6" l="1"/>
  <c r="EU20" i="6"/>
  <c r="EW20" i="6" l="1"/>
  <c r="EE20" i="6" l="1"/>
  <c r="EE15" i="6" l="1"/>
  <c r="EG15" i="6"/>
  <c r="EG20" i="6"/>
  <c r="EC17" i="6"/>
  <c r="EC19" i="6" s="1"/>
  <c r="EC21" i="6" s="1"/>
  <c r="EC23" i="6" s="1"/>
  <c r="EC25" i="6" s="1"/>
  <c r="EE16" i="6" l="1"/>
  <c r="EE17" i="6" s="1"/>
  <c r="EE19" i="6" s="1"/>
  <c r="EE21" i="6" s="1"/>
  <c r="ED17" i="6"/>
  <c r="ED19" i="6" s="1"/>
  <c r="ED21" i="6" s="1"/>
  <c r="ED23" i="6" s="1"/>
  <c r="ED25" i="6" s="1"/>
  <c r="EG16" i="6"/>
  <c r="EG17" i="6" s="1"/>
  <c r="EG19" i="6" s="1"/>
  <c r="EF17" i="6"/>
  <c r="EF19" i="6" s="1"/>
  <c r="EF21" i="6" s="1"/>
  <c r="EF23" i="6" s="1"/>
  <c r="EF25" i="6" s="1"/>
  <c r="EG21" i="6" l="1"/>
  <c r="EG23" i="6" s="1"/>
  <c r="AI33" i="1"/>
  <c r="T33" i="1"/>
  <c r="EE23" i="6"/>
  <c r="T40" i="1" s="1"/>
  <c r="EG25" i="6" l="1"/>
  <c r="AI40" i="1"/>
  <c r="T42" i="1"/>
  <c r="T44" i="1" s="1"/>
  <c r="EE25" i="6"/>
  <c r="AI42" i="1" l="1"/>
  <c r="AI44" i="1" s="1"/>
  <c r="T71" i="1"/>
  <c r="T74" i="1" s="1"/>
  <c r="EE1" i="6"/>
  <c r="EG1" i="6" l="1"/>
  <c r="AI71" i="1"/>
  <c r="AI74" i="1" s="1"/>
  <c r="DW18" i="6"/>
  <c r="DY21" i="6" l="1"/>
  <c r="DY18" i="6"/>
  <c r="DW21" i="6"/>
  <c r="DU26" i="6"/>
  <c r="DU28" i="6" s="1"/>
  <c r="DU30" i="6" s="1"/>
  <c r="DU32" i="6" s="1"/>
  <c r="DU34" i="6" s="1"/>
  <c r="DW15" i="6" l="1"/>
  <c r="DW24" i="6" s="1"/>
  <c r="DW26" i="6" s="1"/>
  <c r="S33" i="1" s="1"/>
  <c r="DV24" i="6"/>
  <c r="DV26" i="6" s="1"/>
  <c r="DV28" i="6" s="1"/>
  <c r="DV30" i="6" l="1"/>
  <c r="DV32" i="6" s="1"/>
  <c r="DV34" i="6" s="1"/>
  <c r="DW28" i="6"/>
  <c r="DW30" i="6" s="1"/>
  <c r="DY15" i="6"/>
  <c r="DX24" i="6"/>
  <c r="DX26" i="6" l="1"/>
  <c r="DX28" i="6" s="1"/>
  <c r="DY24" i="6"/>
  <c r="DY26" i="6" s="1"/>
  <c r="AH33" i="1" s="1"/>
  <c r="DW32" i="6"/>
  <c r="S40" i="1" s="1"/>
  <c r="DW34" i="6" l="1"/>
  <c r="S42" i="1"/>
  <c r="S44" i="1" s="1"/>
  <c r="DX30" i="6"/>
  <c r="DX32" i="6" s="1"/>
  <c r="DX34" i="6" s="1"/>
  <c r="DY28" i="6"/>
  <c r="DY30" i="6" s="1"/>
  <c r="S71" i="1" l="1"/>
  <c r="S74" i="1" s="1"/>
  <c r="DW1" i="6"/>
  <c r="DY32" i="6"/>
  <c r="AH40" i="1" s="1"/>
  <c r="AH42" i="1" l="1"/>
  <c r="AH44" i="1" s="1"/>
  <c r="DY34" i="6"/>
  <c r="AH71" i="1" l="1"/>
  <c r="AH74" i="1" s="1"/>
  <c r="DY1" i="6"/>
  <c r="DO16" i="6" l="1"/>
  <c r="DO17" i="6"/>
  <c r="DO20" i="6"/>
  <c r="R30" i="1" s="1"/>
  <c r="DO19" i="6"/>
  <c r="R29" i="1" s="1"/>
  <c r="DO18" i="6"/>
  <c r="DO22" i="6"/>
  <c r="DO15" i="6" l="1"/>
  <c r="DO21" i="6"/>
  <c r="R31" i="1" s="1"/>
  <c r="R27" i="1" l="1"/>
  <c r="DQ19" i="6" l="1"/>
  <c r="AG29" i="1" s="1"/>
  <c r="AV29" i="1" s="1"/>
  <c r="F29" i="24" s="1"/>
  <c r="DQ21" i="6"/>
  <c r="AG31" i="1" s="1"/>
  <c r="AV31" i="1" s="1"/>
  <c r="F31" i="24" s="1"/>
  <c r="DQ17" i="6"/>
  <c r="DQ22" i="6"/>
  <c r="DQ20" i="6"/>
  <c r="AG30" i="1" s="1"/>
  <c r="DQ16" i="6"/>
  <c r="DQ18" i="6" l="1"/>
  <c r="DQ15" i="6"/>
  <c r="AG27" i="1" l="1"/>
  <c r="AV27" i="1" l="1"/>
  <c r="F27" i="24" s="1"/>
  <c r="CW15" i="6" l="1"/>
  <c r="CW17" i="6" s="1"/>
  <c r="CW18" i="6" s="1"/>
  <c r="CX15" i="6" l="1"/>
  <c r="CX17" i="6" s="1"/>
  <c r="CZ14" i="6"/>
  <c r="CY14" i="6"/>
  <c r="CY15" i="6" s="1"/>
  <c r="CW19" i="6"/>
  <c r="CZ15" i="6" l="1"/>
  <c r="DA14" i="6"/>
  <c r="DA15" i="6" s="1"/>
  <c r="CX18" i="6"/>
  <c r="CY17" i="6"/>
  <c r="CZ17" i="6"/>
  <c r="P33" i="1" l="1"/>
  <c r="CX19" i="6"/>
  <c r="CY18" i="6"/>
  <c r="P40" i="1" s="1"/>
  <c r="CZ18" i="6"/>
  <c r="DA18" i="6" s="1"/>
  <c r="DA17" i="6"/>
  <c r="CZ19" i="6" l="1"/>
  <c r="DA19" i="6"/>
  <c r="CY19" i="6"/>
  <c r="P42" i="1"/>
  <c r="P44" i="1" s="1"/>
  <c r="P71" i="1" l="1"/>
  <c r="P74" i="1" s="1"/>
  <c r="CY1" i="6"/>
  <c r="BY16" i="6" l="1"/>
  <c r="BY18" i="6" s="1"/>
  <c r="BY20" i="6" s="1"/>
  <c r="BY22" i="6" s="1"/>
  <c r="CB14" i="6"/>
  <c r="CB16" i="6" l="1"/>
  <c r="CB18" i="6" s="1"/>
  <c r="CB20" i="6" s="1"/>
  <c r="CB22" i="6" s="1"/>
  <c r="BZ16" i="6" l="1"/>
  <c r="BZ18" i="6" s="1"/>
  <c r="BZ20" i="6" s="1"/>
  <c r="BZ22" i="6" s="1"/>
  <c r="CA14" i="6"/>
  <c r="CA16" i="6" s="1"/>
  <c r="CA18" i="6" s="1"/>
  <c r="CC14" i="6"/>
  <c r="CC16" i="6" s="1"/>
  <c r="CC18" i="6" s="1"/>
  <c r="AE33" i="1" l="1"/>
  <c r="CC20" i="6"/>
  <c r="AE40" i="1" s="1"/>
  <c r="CA20" i="6"/>
  <c r="M40" i="1" s="1"/>
  <c r="M33" i="1"/>
  <c r="CC22" i="6" l="1"/>
  <c r="CA22" i="6"/>
  <c r="M42" i="1"/>
  <c r="M44" i="1" s="1"/>
  <c r="AE42" i="1"/>
  <c r="AE44" i="1" s="1"/>
  <c r="AE71" i="1" l="1"/>
  <c r="AE74" i="1" s="1"/>
  <c r="M71" i="1"/>
  <c r="M74" i="1" s="1"/>
  <c r="CC1" i="6"/>
  <c r="CA1" i="6"/>
  <c r="V14" i="6" l="1"/>
  <c r="V17" i="6" l="1"/>
  <c r="F40" i="1"/>
  <c r="F42" i="1" l="1"/>
  <c r="F44" i="1" s="1"/>
  <c r="F71" i="1" l="1"/>
  <c r="F74" i="1" s="1"/>
  <c r="FU31" i="6"/>
  <c r="FU16" i="6" l="1"/>
  <c r="AL51" i="1" s="1"/>
  <c r="AL34" i="1"/>
  <c r="FU29" i="6" l="1"/>
  <c r="FU17" i="6" l="1"/>
  <c r="AL52" i="1" s="1"/>
  <c r="FU18" i="6" l="1"/>
  <c r="FT19" i="6"/>
  <c r="FU19" i="6" l="1"/>
  <c r="AL24" i="6" l="1"/>
  <c r="AL23" i="6"/>
  <c r="AL22" i="6"/>
  <c r="AL19" i="6"/>
  <c r="AL18" i="6"/>
  <c r="AL17" i="6"/>
  <c r="AL16" i="6"/>
  <c r="AL15" i="6"/>
  <c r="AL14" i="6"/>
  <c r="AL21" i="6" l="1"/>
  <c r="H16" i="1" s="1"/>
  <c r="FT33" i="6" l="1"/>
  <c r="FT35" i="6" s="1"/>
  <c r="FU32" i="6"/>
  <c r="FU33" i="6" s="1"/>
  <c r="FU35" i="6" s="1"/>
  <c r="FU37" i="6" s="1"/>
  <c r="FU38" i="6" s="1"/>
  <c r="AL37" i="1"/>
  <c r="E19" i="25" l="1"/>
  <c r="FT37" i="6"/>
  <c r="AL40" i="1" s="1"/>
  <c r="AL42" i="1" l="1"/>
  <c r="AL44" i="1" s="1"/>
  <c r="FT38" i="6"/>
  <c r="AL71" i="1" l="1"/>
  <c r="AL74" i="1" s="1"/>
  <c r="FU1" i="6"/>
  <c r="FU21" i="6" l="1"/>
  <c r="FU23" i="6" l="1"/>
  <c r="AL53" i="1" l="1"/>
  <c r="FU22" i="6"/>
  <c r="FT24" i="6"/>
  <c r="FT26" i="6" s="1"/>
  <c r="AL56" i="1" l="1"/>
  <c r="FU24" i="6"/>
  <c r="FU26" i="6" l="1"/>
  <c r="AL57" i="1"/>
  <c r="FT1" i="6" l="1"/>
  <c r="C19" i="25"/>
  <c r="AL46" i="1"/>
  <c r="AL72" i="1" l="1"/>
  <c r="AL75" i="1" s="1"/>
  <c r="AR16" i="6"/>
  <c r="AR18" i="6" s="1"/>
  <c r="AR19" i="6" s="1"/>
  <c r="AR21" i="6" s="1"/>
  <c r="AU15" i="6" l="1"/>
  <c r="AT15" i="6"/>
  <c r="AT16" i="6" s="1"/>
  <c r="AT18" i="6" s="1"/>
  <c r="AS16" i="6"/>
  <c r="AS18" i="6" s="1"/>
  <c r="AS19" i="6" s="1"/>
  <c r="AS21" i="6" s="1"/>
  <c r="AT19" i="6" l="1"/>
  <c r="I33" i="1"/>
  <c r="AV15" i="6"/>
  <c r="AV16" i="6" s="1"/>
  <c r="AV18" i="6" s="1"/>
  <c r="AV19" i="6" s="1"/>
  <c r="AV21" i="6" s="1"/>
  <c r="AU16" i="6"/>
  <c r="AU18" i="6" s="1"/>
  <c r="AT21" i="6" l="1"/>
  <c r="I40" i="1"/>
  <c r="AU19" i="6"/>
  <c r="AU20" i="6" s="1"/>
  <c r="AU21" i="6" l="1"/>
  <c r="I42" i="1"/>
  <c r="I44" i="1" s="1"/>
  <c r="I71" i="1" l="1"/>
  <c r="I74" i="1" s="1"/>
  <c r="AT1" i="6"/>
  <c r="ES18" i="6" l="1"/>
  <c r="ES21" i="6" l="1"/>
  <c r="ES23" i="6" l="1"/>
  <c r="ES29" i="6" s="1"/>
  <c r="ES25" i="6" l="1"/>
  <c r="ES30" i="6" s="1"/>
  <c r="ES31" i="6" s="1"/>
  <c r="ES26" i="6" l="1"/>
  <c r="H36" i="6" l="1"/>
  <c r="E22" i="22" l="1"/>
  <c r="D24" i="22"/>
  <c r="D26" i="22" s="1"/>
  <c r="E26" i="22" s="1"/>
  <c r="F16" i="22"/>
  <c r="H16" i="22"/>
  <c r="H26" i="22" l="1"/>
  <c r="F26" i="22"/>
  <c r="F22" i="22"/>
  <c r="E24" i="22"/>
  <c r="H22" i="22"/>
  <c r="AT34" i="1" s="1"/>
  <c r="AT52" i="1"/>
  <c r="AV34" i="1" l="1"/>
  <c r="F24" i="22"/>
  <c r="H24" i="22"/>
  <c r="AT40" i="1" s="1"/>
  <c r="AT42" i="1" l="1"/>
  <c r="AT44" i="1" s="1"/>
  <c r="F34" i="24"/>
  <c r="AT71" i="1" l="1"/>
  <c r="AT74" i="1" s="1"/>
  <c r="D19" i="22"/>
  <c r="H17" i="22" l="1"/>
  <c r="F17" i="22"/>
  <c r="F19" i="22" s="1"/>
  <c r="E19" i="22"/>
  <c r="AT53" i="1" l="1"/>
  <c r="H19" i="22"/>
  <c r="AT57" i="1" l="1"/>
  <c r="G1" i="22" l="1"/>
  <c r="AT46" i="1"/>
  <c r="AT72" i="1" l="1"/>
  <c r="AT75" i="1" s="1"/>
  <c r="H1" i="22"/>
  <c r="C32" i="24" l="1"/>
  <c r="E32" i="24" s="1"/>
  <c r="G32" i="24" s="1"/>
  <c r="I32" i="24" s="1"/>
  <c r="Z32" i="1"/>
  <c r="C40" i="24"/>
  <c r="AW32" i="1" l="1"/>
  <c r="C23" i="24"/>
  <c r="C25" i="1"/>
  <c r="C27" i="24"/>
  <c r="C28" i="24"/>
  <c r="C37" i="24"/>
  <c r="E37" i="24" s="1"/>
  <c r="Z37" i="1"/>
  <c r="C16" i="24"/>
  <c r="C29" i="24"/>
  <c r="C14" i="24"/>
  <c r="C17" i="1"/>
  <c r="C17" i="24" l="1"/>
  <c r="C31" i="24"/>
  <c r="C25" i="24"/>
  <c r="C39" i="24" l="1"/>
  <c r="C30" i="24" l="1"/>
  <c r="C35" i="24"/>
  <c r="C34" i="24"/>
  <c r="C33" i="24"/>
  <c r="F36" i="6" l="1"/>
  <c r="D23" i="1" s="1"/>
  <c r="Y23" i="1" l="1"/>
  <c r="D23" i="24" s="1"/>
  <c r="D25" i="1"/>
  <c r="Z23" i="1" l="1"/>
  <c r="Z25" i="1" s="1"/>
  <c r="Y25" i="1"/>
  <c r="D25" i="24"/>
  <c r="E23" i="24"/>
  <c r="E25" i="24" l="1"/>
  <c r="D26" i="25" l="1"/>
  <c r="D19" i="25"/>
  <c r="D49" i="25" l="1"/>
  <c r="C26" i="2" l="1"/>
  <c r="E26" i="2" l="1"/>
  <c r="E28" i="2" s="1"/>
  <c r="E36" i="2" s="1"/>
  <c r="V26" i="2"/>
  <c r="V80" i="2" s="1"/>
  <c r="T26" i="2"/>
  <c r="T80" i="2" s="1"/>
  <c r="P13" i="2"/>
  <c r="P23" i="2" l="1"/>
  <c r="P53" i="2" s="1"/>
  <c r="P43" i="2"/>
  <c r="EV16" i="6" l="1"/>
  <c r="EW16" i="6" s="1"/>
  <c r="EU16" i="6"/>
  <c r="EU19" i="6" l="1"/>
  <c r="EV19" i="6"/>
  <c r="EW19" i="6" s="1"/>
  <c r="EU17" i="6" l="1"/>
  <c r="EV17" i="6"/>
  <c r="EW17" i="6" s="1"/>
  <c r="V35" i="1" l="1"/>
  <c r="Y35" i="1" l="1"/>
  <c r="D35" i="24" s="1"/>
  <c r="E35" i="24" s="1"/>
  <c r="EU14" i="6"/>
  <c r="EV14" i="6"/>
  <c r="Z35" i="1" l="1"/>
  <c r="EW14" i="6"/>
  <c r="EU15" i="6" l="1"/>
  <c r="EV15" i="6"/>
  <c r="ET18" i="6"/>
  <c r="ET21" i="6" s="1"/>
  <c r="ET23" i="6" s="1"/>
  <c r="ET29" i="6" l="1"/>
  <c r="ET25" i="6"/>
  <c r="ET30" i="6" s="1"/>
  <c r="EW15" i="6"/>
  <c r="EW18" i="6" s="1"/>
  <c r="EW21" i="6" s="1"/>
  <c r="EW23" i="6" s="1"/>
  <c r="EV18" i="6"/>
  <c r="EV21" i="6" s="1"/>
  <c r="EV23" i="6" s="1"/>
  <c r="EU18" i="6"/>
  <c r="EU21" i="6" s="1"/>
  <c r="EU23" i="6" s="1"/>
  <c r="V34" i="1"/>
  <c r="Y34" i="1" l="1"/>
  <c r="ET31" i="6"/>
  <c r="ET26" i="6"/>
  <c r="EU29" i="6"/>
  <c r="V52" i="1" s="1"/>
  <c r="EU25" i="6"/>
  <c r="EU26" i="6" s="1"/>
  <c r="EW29" i="6"/>
  <c r="EW25" i="6"/>
  <c r="EW30" i="6" s="1"/>
  <c r="EV29" i="6"/>
  <c r="EV25" i="6"/>
  <c r="EV30" i="6" s="1"/>
  <c r="EW31" i="6" l="1"/>
  <c r="EV26" i="6"/>
  <c r="EV31" i="6"/>
  <c r="EW26" i="6"/>
  <c r="EU30" i="6"/>
  <c r="V40" i="1"/>
  <c r="D34" i="24"/>
  <c r="Z34" i="1"/>
  <c r="AW34" i="1" l="1"/>
  <c r="V42" i="1"/>
  <c r="V44" i="1" s="1"/>
  <c r="E34" i="24"/>
  <c r="EU31" i="6"/>
  <c r="V53" i="1"/>
  <c r="V71" i="1" l="1"/>
  <c r="V74" i="1" s="1"/>
  <c r="EU1" i="6"/>
  <c r="V57" i="1"/>
  <c r="G34" i="24"/>
  <c r="EV1" i="6" l="1"/>
  <c r="V46" i="1"/>
  <c r="I34" i="24"/>
  <c r="V72" i="1" l="1"/>
  <c r="V75" i="1" s="1"/>
  <c r="AZ17" i="6" l="1"/>
  <c r="AZ18" i="6" s="1"/>
  <c r="AZ19" i="6" s="1"/>
  <c r="HM19" i="6"/>
  <c r="HM21" i="6" s="1"/>
  <c r="HM22" i="6" s="1"/>
  <c r="BQ16" i="6"/>
  <c r="BQ18" i="6" s="1"/>
  <c r="BQ19" i="6" s="1"/>
  <c r="BQ20" i="6" s="1"/>
  <c r="HP19" i="6" l="1"/>
  <c r="CQ16" i="6"/>
  <c r="CQ17" i="6" s="1"/>
  <c r="CO17" i="6"/>
  <c r="C41" i="24" l="1"/>
  <c r="Z41" i="1"/>
  <c r="C42" i="1"/>
  <c r="C44" i="1" s="1"/>
  <c r="HO18" i="6"/>
  <c r="HO19" i="6" s="1"/>
  <c r="HN19" i="6"/>
  <c r="HQ18" i="6"/>
  <c r="HP21" i="6"/>
  <c r="HP22" i="6" s="1"/>
  <c r="BR16" i="6"/>
  <c r="BR18" i="6" s="1"/>
  <c r="BS14" i="6"/>
  <c r="CO19" i="6"/>
  <c r="CQ19" i="6" s="1"/>
  <c r="O40" i="1" s="1"/>
  <c r="O33" i="1"/>
  <c r="BT16" i="6"/>
  <c r="BT18" i="6" s="1"/>
  <c r="BT19" i="6" s="1"/>
  <c r="BT20" i="6" s="1"/>
  <c r="BU14" i="6"/>
  <c r="C71" i="1" l="1"/>
  <c r="C74" i="1" s="1"/>
  <c r="AW41" i="1"/>
  <c r="E41" i="24"/>
  <c r="G41" i="24" s="1"/>
  <c r="I41" i="24" s="1"/>
  <c r="C42" i="24"/>
  <c r="C44" i="24" s="1"/>
  <c r="C67" i="24" s="1"/>
  <c r="M12" i="2"/>
  <c r="HN21" i="6"/>
  <c r="HO21" i="6" s="1"/>
  <c r="HO22" i="6" s="1"/>
  <c r="CQ20" i="6"/>
  <c r="CO20" i="6"/>
  <c r="AR33" i="1"/>
  <c r="HQ19" i="6"/>
  <c r="O42" i="1"/>
  <c r="O44" i="1" s="1"/>
  <c r="L39" i="1"/>
  <c r="BS16" i="6"/>
  <c r="BU16" i="6"/>
  <c r="BU18" i="6" s="1"/>
  <c r="AD39" i="1"/>
  <c r="BR19" i="6"/>
  <c r="BS18" i="6"/>
  <c r="O71" i="1" l="1"/>
  <c r="O74" i="1" s="1"/>
  <c r="HQ21" i="6"/>
  <c r="AR40" i="1" s="1"/>
  <c r="HN22" i="6"/>
  <c r="K24" i="6"/>
  <c r="L22" i="22"/>
  <c r="AI28" i="6"/>
  <c r="M14" i="2"/>
  <c r="C38" i="6"/>
  <c r="BR20" i="6"/>
  <c r="BS19" i="6"/>
  <c r="L40" i="1" s="1"/>
  <c r="BU19" i="6"/>
  <c r="AD40" i="1" s="1"/>
  <c r="CQ1" i="6"/>
  <c r="L42" i="1" l="1"/>
  <c r="L44" i="1" s="1"/>
  <c r="AD42" i="1"/>
  <c r="AD44" i="1" s="1"/>
  <c r="AR42" i="1"/>
  <c r="AR44" i="1" s="1"/>
  <c r="HQ22" i="6"/>
  <c r="DM24" i="6"/>
  <c r="DM27" i="6" s="1"/>
  <c r="DM29" i="6" s="1"/>
  <c r="DM30" i="6" s="1"/>
  <c r="DM31" i="6" s="1"/>
  <c r="BS20" i="6"/>
  <c r="AK28" i="6"/>
  <c r="P22" i="22"/>
  <c r="AI30" i="6"/>
  <c r="K26" i="6"/>
  <c r="L26" i="22"/>
  <c r="C40" i="6"/>
  <c r="J14" i="2"/>
  <c r="M16" i="2"/>
  <c r="M18" i="2" s="1"/>
  <c r="BU20" i="6"/>
  <c r="G7" i="25" l="1"/>
  <c r="BS1" i="6"/>
  <c r="BU1" i="6"/>
  <c r="HQ1" i="6"/>
  <c r="AD71" i="1"/>
  <c r="AD74" i="1" s="1"/>
  <c r="AR71" i="1"/>
  <c r="AR74" i="1" s="1"/>
  <c r="L71" i="1"/>
  <c r="L74" i="1" s="1"/>
  <c r="P26" i="22"/>
  <c r="BA17" i="6"/>
  <c r="BB15" i="6"/>
  <c r="BC15" i="6"/>
  <c r="P24" i="22"/>
  <c r="M19" i="2"/>
  <c r="M20" i="2" s="1"/>
  <c r="AK30" i="6"/>
  <c r="AM30" i="6" s="1"/>
  <c r="AN30" i="6" s="1"/>
  <c r="AM28" i="6"/>
  <c r="X60" i="1" l="1"/>
  <c r="D7" i="25"/>
  <c r="P28" i="22"/>
  <c r="P30" i="22" s="1"/>
  <c r="P31" i="22" s="1"/>
  <c r="P33" i="22" s="1"/>
  <c r="AK31" i="6"/>
  <c r="AK43" i="6" s="1"/>
  <c r="AK44" i="6" s="1"/>
  <c r="AM44" i="6" s="1"/>
  <c r="AN44" i="6" s="1"/>
  <c r="DO23" i="6"/>
  <c r="DN24" i="6"/>
  <c r="BD15" i="6"/>
  <c r="BD17" i="6" s="1"/>
  <c r="BC17" i="6"/>
  <c r="J30" i="1"/>
  <c r="BB17" i="6"/>
  <c r="AN28" i="6"/>
  <c r="AN31" i="6" s="1"/>
  <c r="AM31" i="6"/>
  <c r="BA18" i="6"/>
  <c r="C60" i="1"/>
  <c r="AM60" i="1"/>
  <c r="L60" i="1"/>
  <c r="P60" i="1"/>
  <c r="AO60" i="1"/>
  <c r="U60" i="1"/>
  <c r="AG60" i="1"/>
  <c r="N60" i="1"/>
  <c r="H60" i="24"/>
  <c r="W60" i="1"/>
  <c r="M60" i="1"/>
  <c r="AJ60" i="1"/>
  <c r="AS60" i="1"/>
  <c r="C20" i="2"/>
  <c r="H60" i="1"/>
  <c r="Y60" i="1"/>
  <c r="Q60" i="1"/>
  <c r="T60" i="1"/>
  <c r="D60" i="24"/>
  <c r="S60" i="1"/>
  <c r="K60" i="1"/>
  <c r="AD60" i="1"/>
  <c r="AQ60" i="1"/>
  <c r="E60" i="1"/>
  <c r="AR60" i="1"/>
  <c r="G60" i="1"/>
  <c r="AN60" i="1"/>
  <c r="J60" i="1"/>
  <c r="I60" i="1"/>
  <c r="F60" i="1"/>
  <c r="AL60" i="1"/>
  <c r="AE60" i="1"/>
  <c r="V60" i="1"/>
  <c r="AT60" i="1"/>
  <c r="I60" i="24"/>
  <c r="Z60" i="1"/>
  <c r="R60" i="1"/>
  <c r="D60" i="1"/>
  <c r="AC60" i="1"/>
  <c r="AV60" i="1"/>
  <c r="AH60" i="1"/>
  <c r="AA60" i="1"/>
  <c r="AF60" i="1"/>
  <c r="C60" i="24"/>
  <c r="AP60" i="1"/>
  <c r="AB60" i="1"/>
  <c r="AU60" i="1"/>
  <c r="AI60" i="1"/>
  <c r="AW60" i="1"/>
  <c r="E60" i="24"/>
  <c r="AK60" i="1"/>
  <c r="G60" i="24"/>
  <c r="O60" i="1"/>
  <c r="F60" i="24"/>
  <c r="T20" i="2" l="1"/>
  <c r="T74" i="2" s="1"/>
  <c r="V20" i="2"/>
  <c r="V74" i="2" s="1"/>
  <c r="G6" i="25"/>
  <c r="AM43" i="6"/>
  <c r="AN43" i="6" s="1"/>
  <c r="AN45" i="6" s="1"/>
  <c r="AK45" i="6"/>
  <c r="R33" i="1"/>
  <c r="DO24" i="6"/>
  <c r="BB18" i="6"/>
  <c r="J40" i="1" s="1"/>
  <c r="BC18" i="6"/>
  <c r="BD18" i="6" s="1"/>
  <c r="BD19" i="6" s="1"/>
  <c r="BA19" i="6"/>
  <c r="G31" i="25" l="1"/>
  <c r="H31" i="25" s="1"/>
  <c r="I31" i="25" s="1"/>
  <c r="G30" i="25"/>
  <c r="G26" i="25"/>
  <c r="H26" i="25" s="1"/>
  <c r="G29" i="25"/>
  <c r="G23" i="25"/>
  <c r="H23" i="25" s="1"/>
  <c r="G17" i="25"/>
  <c r="H17" i="25" s="1"/>
  <c r="G45" i="25"/>
  <c r="G48" i="25" s="1"/>
  <c r="K25" i="25"/>
  <c r="K24" i="25"/>
  <c r="J42" i="1"/>
  <c r="J44" i="1" s="1"/>
  <c r="AM45" i="6"/>
  <c r="BC19" i="6"/>
  <c r="BB19" i="6"/>
  <c r="AL20" i="6"/>
  <c r="AJ25" i="6"/>
  <c r="K31" i="25" l="1"/>
  <c r="H29" i="25"/>
  <c r="I29" i="25" s="1"/>
  <c r="K29" i="25" s="1"/>
  <c r="I45" i="25"/>
  <c r="I48" i="25" s="1"/>
  <c r="P48" i="25" s="1"/>
  <c r="J71" i="1"/>
  <c r="J74" i="1" s="1"/>
  <c r="BB1" i="6"/>
  <c r="K30" i="1"/>
  <c r="K29" i="1"/>
  <c r="K33" i="1"/>
  <c r="AG39" i="1"/>
  <c r="K31" i="1"/>
  <c r="BI24" i="6"/>
  <c r="BI27" i="6" s="1"/>
  <c r="BI29" i="6" s="1"/>
  <c r="BI30" i="6" s="1"/>
  <c r="AJ29" i="6"/>
  <c r="AJ28" i="6"/>
  <c r="AJ30" i="6"/>
  <c r="H14" i="1"/>
  <c r="H17" i="1" s="1"/>
  <c r="AL25" i="6"/>
  <c r="Y31" i="1" l="1"/>
  <c r="Y29" i="1"/>
  <c r="Z29" i="1" s="1"/>
  <c r="Z31" i="1"/>
  <c r="D31" i="24"/>
  <c r="E31" i="24" s="1"/>
  <c r="G31" i="24" s="1"/>
  <c r="I31" i="24" s="1"/>
  <c r="K28" i="1"/>
  <c r="Y28" i="1" s="1"/>
  <c r="DQ23" i="6"/>
  <c r="DP24" i="6"/>
  <c r="R39" i="1"/>
  <c r="DN27" i="6"/>
  <c r="DO27" i="6"/>
  <c r="DO29" i="6" s="1"/>
  <c r="DN26" i="6"/>
  <c r="DP26" i="6" s="1"/>
  <c r="AJ31" i="6"/>
  <c r="AJ43" i="6" s="1"/>
  <c r="AJ44" i="6" s="1"/>
  <c r="AJ45" i="6" s="1"/>
  <c r="AL29" i="6"/>
  <c r="AL28" i="6"/>
  <c r="AL30" i="6"/>
  <c r="D29" i="24" l="1"/>
  <c r="E29" i="24" s="1"/>
  <c r="G29" i="24" s="1"/>
  <c r="I29" i="24" s="1"/>
  <c r="H33" i="1"/>
  <c r="H39" i="1"/>
  <c r="AW31" i="1"/>
  <c r="AW29" i="1"/>
  <c r="DO30" i="6"/>
  <c r="R40" i="1" s="1"/>
  <c r="DN29" i="6"/>
  <c r="DN30" i="6" s="1"/>
  <c r="DN31" i="6" s="1"/>
  <c r="BJ24" i="6"/>
  <c r="AG33" i="1"/>
  <c r="DQ24" i="6"/>
  <c r="DQ27" i="6" s="1"/>
  <c r="DQ29" i="6" s="1"/>
  <c r="D28" i="24"/>
  <c r="E28" i="24" s="1"/>
  <c r="G28" i="24" s="1"/>
  <c r="I28" i="24" s="1"/>
  <c r="Z28" i="1"/>
  <c r="H30" i="1"/>
  <c r="AL31" i="6"/>
  <c r="AL43" i="6" s="1"/>
  <c r="R42" i="1" l="1"/>
  <c r="R44" i="1" s="1"/>
  <c r="DP27" i="6"/>
  <c r="DP29" i="6" s="1"/>
  <c r="DP30" i="6" s="1"/>
  <c r="DP31" i="6" s="1"/>
  <c r="AW28" i="1"/>
  <c r="BL24" i="6"/>
  <c r="DQ30" i="6"/>
  <c r="AG40" i="1" s="1"/>
  <c r="DO31" i="6"/>
  <c r="BJ27" i="6"/>
  <c r="AL44" i="6"/>
  <c r="H40" i="1" l="1"/>
  <c r="H42" i="1" s="1"/>
  <c r="H44" i="1" s="1"/>
  <c r="AG42" i="1"/>
  <c r="AG44" i="1" s="1"/>
  <c r="R71" i="1"/>
  <c r="R74" i="1" s="1"/>
  <c r="DO1" i="6"/>
  <c r="DQ31" i="6"/>
  <c r="BJ29" i="6"/>
  <c r="BJ30" i="6" s="1"/>
  <c r="AL45" i="6"/>
  <c r="K39" i="1"/>
  <c r="BL27" i="6"/>
  <c r="BK24" i="6"/>
  <c r="K27" i="1"/>
  <c r="BM24" i="6"/>
  <c r="Y27" i="1" l="1"/>
  <c r="DQ1" i="6"/>
  <c r="AG71" i="1"/>
  <c r="AG74" i="1" s="1"/>
  <c r="H71" i="1"/>
  <c r="H74" i="1" s="1"/>
  <c r="AL1" i="6"/>
  <c r="BM27" i="6"/>
  <c r="BM29" i="6" s="1"/>
  <c r="BM30" i="6" s="1"/>
  <c r="BK27" i="6"/>
  <c r="BK29" i="6"/>
  <c r="K40" i="1" s="1"/>
  <c r="BL29" i="6"/>
  <c r="BL30" i="6" s="1"/>
  <c r="K42" i="1" l="1"/>
  <c r="K44" i="1" s="1"/>
  <c r="BK30" i="6"/>
  <c r="D27" i="24"/>
  <c r="E27" i="24" s="1"/>
  <c r="G27" i="24" s="1"/>
  <c r="I27" i="24" s="1"/>
  <c r="Z27" i="1"/>
  <c r="BK1" i="6" l="1"/>
  <c r="K71" i="1"/>
  <c r="K74" i="1" s="1"/>
  <c r="AW27" i="1"/>
  <c r="GK31" i="6" l="1"/>
  <c r="GK32" i="6"/>
  <c r="GK24" i="6"/>
  <c r="GK23" i="6"/>
  <c r="GK17" i="6"/>
  <c r="AN52" i="1" s="1"/>
  <c r="AN37" i="1" l="1"/>
  <c r="GK18" i="6"/>
  <c r="AN53" i="1" s="1"/>
  <c r="AV37" i="1" l="1"/>
  <c r="E20" i="25"/>
  <c r="GK16" i="6"/>
  <c r="GJ19" i="6"/>
  <c r="GJ25" i="6"/>
  <c r="GK22" i="6"/>
  <c r="GK30" i="6"/>
  <c r="GJ33" i="6"/>
  <c r="F37" i="24" l="1"/>
  <c r="G37" i="24" s="1"/>
  <c r="I37" i="24" s="1"/>
  <c r="AX38" i="1"/>
  <c r="AN56" i="1"/>
  <c r="AW37" i="1"/>
  <c r="AV54" i="1"/>
  <c r="GK25" i="6"/>
  <c r="GJ27" i="6"/>
  <c r="AN35" i="1"/>
  <c r="GK33" i="6"/>
  <c r="GK37" i="6"/>
  <c r="AN40" i="1" s="1"/>
  <c r="GK35" i="6"/>
  <c r="AN51" i="1"/>
  <c r="GK19" i="6"/>
  <c r="AV56" i="1" l="1"/>
  <c r="C20" i="25"/>
  <c r="GK27" i="6"/>
  <c r="GJ38" i="6"/>
  <c r="GK38" i="6"/>
  <c r="AN42" i="1"/>
  <c r="AN44" i="1" s="1"/>
  <c r="AN57" i="1"/>
  <c r="F54" i="24"/>
  <c r="D20" i="25" l="1"/>
  <c r="F56" i="24"/>
  <c r="G56" i="24" s="1"/>
  <c r="I56" i="24" s="1"/>
  <c r="AW56" i="1"/>
  <c r="AN46" i="1"/>
  <c r="GJ1" i="6"/>
  <c r="AN71" i="1"/>
  <c r="AN74" i="1" s="1"/>
  <c r="GK1" i="6"/>
  <c r="AN72" i="1" l="1"/>
  <c r="AN75" i="1" s="1"/>
  <c r="GA16" i="6"/>
  <c r="GA15" i="6" l="1"/>
  <c r="FY29" i="6" l="1"/>
  <c r="FY31" i="6" s="1"/>
  <c r="FY32" i="6" s="1"/>
  <c r="GA26" i="6"/>
  <c r="GC26" i="6"/>
  <c r="GC27" i="6"/>
  <c r="GA27" i="6"/>
  <c r="GB29" i="6"/>
  <c r="GB31" i="6" s="1"/>
  <c r="GB32" i="6" s="1"/>
  <c r="GA28" i="6"/>
  <c r="GC28" i="6" l="1"/>
  <c r="GA18" i="6" l="1"/>
  <c r="FZ29" i="6"/>
  <c r="FZ31" i="6" s="1"/>
  <c r="FZ32" i="6" s="1"/>
  <c r="GC18" i="6"/>
  <c r="GA21" i="6"/>
  <c r="GC21" i="6"/>
  <c r="GA20" i="6"/>
  <c r="GC20" i="6"/>
  <c r="GA19" i="6"/>
  <c r="GC19" i="6"/>
  <c r="GC29" i="6" l="1"/>
  <c r="GA29" i="6"/>
  <c r="GA31" i="6" l="1"/>
  <c r="W40" i="1" s="1"/>
  <c r="W33" i="1"/>
  <c r="AM33" i="1"/>
  <c r="GC31" i="6"/>
  <c r="AM40" i="1" s="1"/>
  <c r="GA32" i="6" l="1"/>
  <c r="GC32" i="6"/>
  <c r="AM42" i="1"/>
  <c r="AM44" i="1" s="1"/>
  <c r="W42" i="1"/>
  <c r="W44" i="1" s="1"/>
  <c r="W71" i="1" l="1"/>
  <c r="W74" i="1" s="1"/>
  <c r="AM71" i="1"/>
  <c r="AM74" i="1" s="1"/>
  <c r="GC1" i="6"/>
  <c r="F16" i="25" l="1"/>
  <c r="F15" i="25"/>
  <c r="G16" i="25" l="1"/>
  <c r="G15" i="25"/>
  <c r="F49" i="25"/>
  <c r="F20" i="25"/>
  <c r="F19" i="25"/>
  <c r="G19" i="25" l="1"/>
  <c r="G20" i="25"/>
  <c r="H15" i="25"/>
  <c r="H16" i="25"/>
  <c r="G49" i="25"/>
  <c r="H19" i="25" l="1"/>
  <c r="I19" i="25" s="1"/>
  <c r="H20" i="25"/>
  <c r="I20" i="25" s="1"/>
  <c r="I17" i="25"/>
  <c r="I26" i="25"/>
  <c r="I16" i="25"/>
  <c r="I23" i="25"/>
  <c r="K19" i="25" l="1"/>
  <c r="K17" i="25"/>
  <c r="K20" i="25"/>
  <c r="K16" i="25"/>
  <c r="K26" i="25"/>
  <c r="K23" i="25"/>
  <c r="I15" i="25"/>
  <c r="K15" i="25" l="1"/>
  <c r="H20" i="6" l="1"/>
  <c r="N15" i="22" l="1"/>
  <c r="M23" i="22"/>
  <c r="N23" i="22" s="1"/>
  <c r="M22" i="22"/>
  <c r="M26" i="22"/>
  <c r="N26" i="22" s="1"/>
  <c r="AA14" i="1"/>
  <c r="O26" i="22" l="1"/>
  <c r="Q26" i="22"/>
  <c r="AU39" i="1" s="1"/>
  <c r="M24" i="22"/>
  <c r="M28" i="22" s="1"/>
  <c r="M30" i="22" s="1"/>
  <c r="N22" i="22"/>
  <c r="Q23" i="22"/>
  <c r="AU33" i="1" s="1"/>
  <c r="O23" i="22"/>
  <c r="O15" i="22"/>
  <c r="Q15" i="22"/>
  <c r="AU14" i="1" s="1"/>
  <c r="AU17" i="1" l="1"/>
  <c r="Q22" i="22"/>
  <c r="N24" i="22"/>
  <c r="N28" i="22" s="1"/>
  <c r="O22" i="22"/>
  <c r="O24" i="22" s="1"/>
  <c r="O28" i="22" s="1"/>
  <c r="O30" i="22" s="1"/>
  <c r="O31" i="22" s="1"/>
  <c r="O33" i="22" s="1"/>
  <c r="N30" i="22"/>
  <c r="N31" i="22" s="1"/>
  <c r="N33" i="22" s="1"/>
  <c r="M31" i="22"/>
  <c r="M33" i="22" s="1"/>
  <c r="Q24" i="22" l="1"/>
  <c r="Q28" i="22" s="1"/>
  <c r="Q30" i="22" s="1"/>
  <c r="AU30" i="1"/>
  <c r="F29" i="6" l="1"/>
  <c r="D16" i="1" s="1"/>
  <c r="Y16" i="1" s="1"/>
  <c r="D16" i="24" s="1"/>
  <c r="E16" i="24" s="1"/>
  <c r="Q31" i="22"/>
  <c r="AU40" i="1" s="1"/>
  <c r="AU42" i="1" l="1"/>
  <c r="AU44" i="1" s="1"/>
  <c r="Z16" i="1"/>
  <c r="H29" i="6"/>
  <c r="AA16" i="1" s="1"/>
  <c r="Q33" i="22"/>
  <c r="Q1" i="22" l="1"/>
  <c r="A1" i="22" s="1"/>
  <c r="AU71" i="1"/>
  <c r="AU74" i="1" s="1"/>
  <c r="H31" i="6"/>
  <c r="H39" i="6" s="1"/>
  <c r="AV16" i="1"/>
  <c r="AA17" i="1"/>
  <c r="H40" i="6" l="1"/>
  <c r="AA39" i="1" s="1"/>
  <c r="H38" i="6"/>
  <c r="AA33" i="1"/>
  <c r="AW16" i="1"/>
  <c r="F16" i="24"/>
  <c r="AA30" i="1" l="1"/>
  <c r="H41" i="6"/>
  <c r="H43" i="6" s="1"/>
  <c r="H44" i="6" s="1"/>
  <c r="AA40" i="1" s="1"/>
  <c r="G16" i="24"/>
  <c r="I16" i="24" s="1"/>
  <c r="H45" i="6" l="1"/>
  <c r="AA42" i="1"/>
  <c r="AA44" i="1" s="1"/>
  <c r="H1" i="6" l="1"/>
  <c r="AA71" i="1"/>
  <c r="AA74" i="1" s="1"/>
  <c r="L40" i="25" l="1"/>
  <c r="G27" i="25" l="1"/>
  <c r="H27" i="25" l="1"/>
  <c r="I27" i="25" l="1"/>
  <c r="K27" i="25" l="1"/>
  <c r="F20" i="6" l="1"/>
  <c r="D14" i="1" l="1"/>
  <c r="F31" i="6"/>
  <c r="F38" i="6" l="1"/>
  <c r="F39" i="6"/>
  <c r="D33" i="1" s="1"/>
  <c r="F40" i="6"/>
  <c r="D39" i="1" s="1"/>
  <c r="D17" i="1"/>
  <c r="D30" i="1" l="1"/>
  <c r="F41" i="6"/>
  <c r="F43" i="6" s="1"/>
  <c r="F44" i="6" l="1"/>
  <c r="D40" i="1" s="1"/>
  <c r="F45" i="6" l="1"/>
  <c r="D42" i="1"/>
  <c r="D44" i="1" s="1"/>
  <c r="D71" i="1" l="1"/>
  <c r="D74" i="1" s="1"/>
  <c r="G1" i="6"/>
  <c r="C53" i="24" l="1"/>
  <c r="C54" i="24"/>
  <c r="C52" i="24" l="1"/>
  <c r="EN16" i="6"/>
  <c r="EO16" i="6" s="1"/>
  <c r="EM16" i="6"/>
  <c r="U53" i="1" s="1"/>
  <c r="EM17" i="6"/>
  <c r="U54" i="1" s="1"/>
  <c r="EN17" i="6"/>
  <c r="EO17" i="6" s="1"/>
  <c r="Y54" i="1" l="1"/>
  <c r="D54" i="24" s="1"/>
  <c r="E54" i="24" s="1"/>
  <c r="G54" i="24" s="1"/>
  <c r="I54" i="24" s="1"/>
  <c r="Y53" i="1"/>
  <c r="D53" i="24" s="1"/>
  <c r="E53" i="24" s="1"/>
  <c r="C51" i="24"/>
  <c r="EM15" i="6"/>
  <c r="U52" i="1" s="1"/>
  <c r="EN15" i="6"/>
  <c r="EO15" i="6" s="1"/>
  <c r="Z53" i="1" l="1"/>
  <c r="Y52" i="1"/>
  <c r="D52" i="24" s="1"/>
  <c r="E52" i="24" s="1"/>
  <c r="Z54" i="1"/>
  <c r="EM14" i="6"/>
  <c r="EN14" i="6"/>
  <c r="Z52" i="1" l="1"/>
  <c r="AW54" i="1"/>
  <c r="EO14" i="6"/>
  <c r="U51" i="1"/>
  <c r="Y51" i="1" l="1"/>
  <c r="EN18" i="6" l="1"/>
  <c r="EL20" i="6"/>
  <c r="Z51" i="1"/>
  <c r="D51" i="24"/>
  <c r="EO18" i="6" l="1"/>
  <c r="EO20" i="6" s="1"/>
  <c r="EN20" i="6"/>
  <c r="E51" i="24"/>
  <c r="C55" i="24" l="1"/>
  <c r="C57" i="1"/>
  <c r="EK20" i="6"/>
  <c r="EM18" i="6"/>
  <c r="C57" i="24" l="1"/>
  <c r="C46" i="1"/>
  <c r="U55" i="1"/>
  <c r="EM20" i="6"/>
  <c r="Y55" i="1" l="1"/>
  <c r="U57" i="1"/>
  <c r="C46" i="24"/>
  <c r="C48" i="24" s="1"/>
  <c r="C72" i="1"/>
  <c r="C75" i="1" s="1"/>
  <c r="C48" i="1"/>
  <c r="C68" i="24" l="1"/>
  <c r="U46" i="1"/>
  <c r="EM1" i="6"/>
  <c r="D55" i="24"/>
  <c r="Z55" i="1"/>
  <c r="Y57" i="1"/>
  <c r="U72" i="1" l="1"/>
  <c r="U75" i="1" s="1"/>
  <c r="Y46" i="1"/>
  <c r="Y72" i="1"/>
  <c r="Y75" i="1" s="1"/>
  <c r="AW55" i="1"/>
  <c r="Z57" i="1"/>
  <c r="D57" i="24"/>
  <c r="D46" i="24" s="1"/>
  <c r="D68" i="24" s="1"/>
  <c r="E55" i="24"/>
  <c r="Z46" i="1" l="1"/>
  <c r="Z72" i="1" s="1"/>
  <c r="Z75" i="1" s="1"/>
  <c r="G55" i="24"/>
  <c r="E57" i="24"/>
  <c r="I55" i="24" l="1"/>
  <c r="E46" i="24"/>
  <c r="E68" i="24" s="1"/>
  <c r="AD14" i="6"/>
  <c r="AC14" i="6"/>
  <c r="AC19" i="6" s="1"/>
  <c r="AC21" i="6" l="1"/>
  <c r="AC22" i="6" s="1"/>
  <c r="AD19" i="6"/>
  <c r="AD21" i="6" s="1"/>
  <c r="AD22" i="6" l="1"/>
  <c r="G40" i="1"/>
  <c r="G42" i="1" l="1"/>
  <c r="G44" i="1" s="1"/>
  <c r="G71" i="1" l="1"/>
  <c r="G74" i="1" s="1"/>
  <c r="G61" i="1"/>
  <c r="G62" i="1" s="1"/>
  <c r="AD1" i="6"/>
  <c r="G16" i="2" l="1"/>
  <c r="H12" i="2"/>
  <c r="D4" i="25" s="1"/>
  <c r="AE18" i="6" l="1"/>
  <c r="H14" i="2"/>
  <c r="H16" i="2"/>
  <c r="H18" i="2" s="1"/>
  <c r="D3" i="25" l="1"/>
  <c r="C13" i="2"/>
  <c r="T13" i="2" l="1"/>
  <c r="T67" i="2" s="1"/>
  <c r="V13" i="2"/>
  <c r="V67" i="2" s="1"/>
  <c r="D32" i="25"/>
  <c r="G32" i="25" s="1"/>
  <c r="H32" i="25" s="1"/>
  <c r="I32" i="25" s="1"/>
  <c r="D33" i="25"/>
  <c r="G33" i="25" s="1"/>
  <c r="Q59" i="1"/>
  <c r="Q61" i="1" s="1"/>
  <c r="Q62" i="1" s="1"/>
  <c r="M59" i="1"/>
  <c r="M61" i="1" s="1"/>
  <c r="M62" i="1" s="1"/>
  <c r="I59" i="1"/>
  <c r="I61" i="1" s="1"/>
  <c r="I62" i="1" s="1"/>
  <c r="AW59" i="1"/>
  <c r="AQ59" i="1"/>
  <c r="AQ61" i="1" s="1"/>
  <c r="AQ62" i="1" s="1"/>
  <c r="AB59" i="1"/>
  <c r="AP59" i="1"/>
  <c r="AP61" i="1" s="1"/>
  <c r="AP62" i="1" s="1"/>
  <c r="R59" i="1"/>
  <c r="R61" i="1" s="1"/>
  <c r="R62" i="1" s="1"/>
  <c r="AU59" i="1"/>
  <c r="AU61" i="1" s="1"/>
  <c r="AU62" i="1" s="1"/>
  <c r="L59" i="1"/>
  <c r="L61" i="1" s="1"/>
  <c r="L62" i="1" s="1"/>
  <c r="J59" i="1"/>
  <c r="J61" i="1" s="1"/>
  <c r="J62" i="1" s="1"/>
  <c r="Z59" i="1"/>
  <c r="S59" i="1"/>
  <c r="S61" i="1" s="1"/>
  <c r="S62" i="1" s="1"/>
  <c r="G59" i="24"/>
  <c r="AN59" i="1"/>
  <c r="AN61" i="1" s="1"/>
  <c r="AN62" i="1" s="1"/>
  <c r="AS59" i="1"/>
  <c r="AL59" i="1"/>
  <c r="AL61" i="1" s="1"/>
  <c r="AL62" i="1" s="1"/>
  <c r="U59" i="1"/>
  <c r="U61" i="1" s="1"/>
  <c r="U62" i="1" s="1"/>
  <c r="V59" i="1"/>
  <c r="V61" i="1" s="1"/>
  <c r="V62" i="1" s="1"/>
  <c r="AF59" i="1"/>
  <c r="AF61" i="1" s="1"/>
  <c r="AF62" i="1" s="1"/>
  <c r="F59" i="24"/>
  <c r="H59" i="1"/>
  <c r="H61" i="1" s="1"/>
  <c r="H62" i="1" s="1"/>
  <c r="N59" i="1"/>
  <c r="N61" i="1" s="1"/>
  <c r="N62" i="1" s="1"/>
  <c r="X59" i="1"/>
  <c r="X61" i="1" s="1"/>
  <c r="X62" i="1" s="1"/>
  <c r="O59" i="1"/>
  <c r="O61" i="1" s="1"/>
  <c r="O62" i="1" s="1"/>
  <c r="AG59" i="1"/>
  <c r="AG61" i="1" s="1"/>
  <c r="AG62" i="1" s="1"/>
  <c r="D59" i="1"/>
  <c r="D61" i="1" s="1"/>
  <c r="D62" i="1" s="1"/>
  <c r="F59" i="1"/>
  <c r="F61" i="1" s="1"/>
  <c r="F62" i="1" s="1"/>
  <c r="AC59" i="1"/>
  <c r="W59" i="1"/>
  <c r="W61" i="1" s="1"/>
  <c r="W62" i="1" s="1"/>
  <c r="AV59" i="1"/>
  <c r="T59" i="1"/>
  <c r="T61" i="1" s="1"/>
  <c r="T62" i="1" s="1"/>
  <c r="AJ59" i="1"/>
  <c r="AJ61" i="1" s="1"/>
  <c r="AJ62" i="1" s="1"/>
  <c r="K59" i="1"/>
  <c r="K61" i="1" s="1"/>
  <c r="K62" i="1" s="1"/>
  <c r="P59" i="1"/>
  <c r="P61" i="1" s="1"/>
  <c r="P62" i="1" s="1"/>
  <c r="E59" i="1"/>
  <c r="C59" i="24"/>
  <c r="C61" i="24" s="1"/>
  <c r="C62" i="24" s="1"/>
  <c r="Y59" i="1"/>
  <c r="AD59" i="1"/>
  <c r="AD61" i="1" s="1"/>
  <c r="AD62" i="1" s="1"/>
  <c r="AM59" i="1"/>
  <c r="AM61" i="1" s="1"/>
  <c r="AM62" i="1" s="1"/>
  <c r="AI59" i="1"/>
  <c r="AI61" i="1" s="1"/>
  <c r="AI62" i="1" s="1"/>
  <c r="I59" i="24"/>
  <c r="AH59" i="1"/>
  <c r="AH61" i="1" s="1"/>
  <c r="AH62" i="1" s="1"/>
  <c r="D59" i="24"/>
  <c r="E59" i="24"/>
  <c r="AR59" i="1"/>
  <c r="AR61" i="1" s="1"/>
  <c r="AR62" i="1" s="1"/>
  <c r="AE59" i="1"/>
  <c r="AE61" i="1" s="1"/>
  <c r="AE62" i="1" s="1"/>
  <c r="AT59" i="1"/>
  <c r="AT61" i="1" s="1"/>
  <c r="AT62" i="1" s="1"/>
  <c r="AK59" i="1"/>
  <c r="AK61" i="1" s="1"/>
  <c r="AK62" i="1" s="1"/>
  <c r="AO59" i="1"/>
  <c r="AO61" i="1" s="1"/>
  <c r="AO62" i="1" s="1"/>
  <c r="AA59" i="1"/>
  <c r="AA61" i="1" s="1"/>
  <c r="AA62" i="1" s="1"/>
  <c r="C59" i="1"/>
  <c r="C61" i="1" s="1"/>
  <c r="C62" i="1" s="1"/>
  <c r="H59" i="24"/>
  <c r="K32" i="25" l="1"/>
  <c r="H33" i="25"/>
  <c r="I33" i="25" s="1"/>
  <c r="K33" i="25" s="1"/>
  <c r="HX25" i="6" l="1"/>
  <c r="HX29" i="6" l="1"/>
  <c r="AS51" i="1" l="1"/>
  <c r="HX30" i="6"/>
  <c r="HY29" i="6"/>
  <c r="AS40" i="1" s="1"/>
  <c r="AS35" i="1"/>
  <c r="HY25" i="6"/>
  <c r="AS52" i="1"/>
  <c r="AV52" i="1" l="1"/>
  <c r="F52" i="24" s="1"/>
  <c r="G52" i="24" s="1"/>
  <c r="I52" i="24" s="1"/>
  <c r="AS42" i="1"/>
  <c r="AS44" i="1" s="1"/>
  <c r="AV35" i="1"/>
  <c r="HY30" i="6"/>
  <c r="AV51" i="1"/>
  <c r="AW52" i="1" l="1"/>
  <c r="F35" i="24"/>
  <c r="AW35" i="1"/>
  <c r="AS71" i="1"/>
  <c r="AS74" i="1" s="1"/>
  <c r="HX1" i="6"/>
  <c r="F51" i="24"/>
  <c r="AW51" i="1"/>
  <c r="G51" i="24" l="1"/>
  <c r="G35" i="24"/>
  <c r="I35" i="24" s="1"/>
  <c r="I51" i="24" l="1"/>
  <c r="HX19" i="6" l="1"/>
  <c r="HX21" i="6" s="1"/>
  <c r="AS53" i="1" l="1"/>
  <c r="HY19" i="6"/>
  <c r="HY21" i="6" s="1"/>
  <c r="AV53" i="1" l="1"/>
  <c r="AS57" i="1"/>
  <c r="HY1" i="6" l="1"/>
  <c r="AS46" i="1"/>
  <c r="AS61" i="1"/>
  <c r="AS62" i="1" s="1"/>
  <c r="F53" i="24"/>
  <c r="AW53" i="1"/>
  <c r="AW57" i="1" s="1"/>
  <c r="AV57" i="1"/>
  <c r="AS72" i="1" l="1"/>
  <c r="AS75" i="1" s="1"/>
  <c r="AV46" i="1"/>
  <c r="AW46" i="1"/>
  <c r="AV72" i="1"/>
  <c r="AV75" i="1" s="1"/>
  <c r="AW72" i="1"/>
  <c r="AW75" i="1" s="1"/>
  <c r="G53" i="24"/>
  <c r="F57" i="24"/>
  <c r="F46" i="24" s="1"/>
  <c r="F68" i="24" s="1"/>
  <c r="I53" i="24" l="1"/>
  <c r="I57" i="24" s="1"/>
  <c r="I46" i="24" s="1"/>
  <c r="G57" i="24"/>
  <c r="G46" i="24" l="1"/>
  <c r="AE14" i="6"/>
  <c r="AF14" i="6" l="1"/>
  <c r="AE19" i="6"/>
  <c r="C12" i="2"/>
  <c r="G68" i="24"/>
  <c r="T12" i="2" l="1"/>
  <c r="T66" i="2" s="1"/>
  <c r="V12" i="2"/>
  <c r="V66" i="2" s="1"/>
  <c r="E32" i="26"/>
  <c r="E33" i="26" s="1"/>
  <c r="E3" i="26" s="1"/>
  <c r="C15" i="2"/>
  <c r="AF19" i="6"/>
  <c r="AF21" i="6" s="1"/>
  <c r="AE21" i="6"/>
  <c r="AE22" i="6" s="1"/>
  <c r="T15" i="2" l="1"/>
  <c r="T69" i="2" s="1"/>
  <c r="V15" i="2"/>
  <c r="V69" i="2" s="1"/>
  <c r="AC40" i="1"/>
  <c r="AF22" i="6"/>
  <c r="G32" i="26"/>
  <c r="G33" i="26" s="1"/>
  <c r="G3" i="26" s="1"/>
  <c r="AC42" i="1" l="1"/>
  <c r="AC44" i="1" s="1"/>
  <c r="AC71" i="1" l="1"/>
  <c r="AC74" i="1" s="1"/>
  <c r="AF1" i="6"/>
  <c r="AC61" i="1"/>
  <c r="AC62" i="1" s="1"/>
  <c r="N15" i="6" l="1"/>
  <c r="E14" i="1" l="1"/>
  <c r="N17" i="6"/>
  <c r="M17" i="6" s="1"/>
  <c r="M19" i="6" s="1"/>
  <c r="M25" i="6" l="1"/>
  <c r="M24" i="6"/>
  <c r="M26" i="6"/>
  <c r="E17" i="1"/>
  <c r="Y14" i="1"/>
  <c r="P21" i="6" l="1"/>
  <c r="Z14" i="1"/>
  <c r="D14" i="24"/>
  <c r="Y17" i="1"/>
  <c r="M27" i="6"/>
  <c r="M29" i="6" s="1"/>
  <c r="M31" i="6" s="1"/>
  <c r="M32" i="6" s="1"/>
  <c r="AB23" i="1" l="1"/>
  <c r="AB25" i="1"/>
  <c r="AV23" i="1"/>
  <c r="E14" i="24"/>
  <c r="D17" i="24"/>
  <c r="Z17" i="1"/>
  <c r="E17" i="24" l="1"/>
  <c r="F23" i="24"/>
  <c r="AV25" i="1"/>
  <c r="AW23" i="1"/>
  <c r="AW25" i="1" s="1"/>
  <c r="F25" i="24" l="1"/>
  <c r="G23" i="24"/>
  <c r="G25" i="24" l="1"/>
  <c r="I23" i="24"/>
  <c r="I25" i="24" s="1"/>
  <c r="L19" i="6" l="1"/>
  <c r="L25" i="6" l="1"/>
  <c r="N25" i="6" s="1"/>
  <c r="E33" i="1" s="1"/>
  <c r="L24" i="6"/>
  <c r="N24" i="6" s="1"/>
  <c r="L26" i="6"/>
  <c r="P19" i="6"/>
  <c r="Y33" i="1" l="1"/>
  <c r="Z33" i="1" s="1"/>
  <c r="AB14" i="1"/>
  <c r="P17" i="6"/>
  <c r="O17" i="6" s="1"/>
  <c r="E30" i="1"/>
  <c r="L27" i="6"/>
  <c r="L29" i="6" s="1"/>
  <c r="L31" i="6" s="1"/>
  <c r="L32" i="6" s="1"/>
  <c r="N26" i="6"/>
  <c r="E39" i="1" s="1"/>
  <c r="D33" i="24"/>
  <c r="E33" i="24" s="1"/>
  <c r="P25" i="6"/>
  <c r="AB33" i="1" s="1"/>
  <c r="AV33" i="1" l="1"/>
  <c r="Y39" i="1"/>
  <c r="D39" i="24"/>
  <c r="E39" i="24" s="1"/>
  <c r="Z39" i="1"/>
  <c r="Y30" i="1"/>
  <c r="N27" i="6"/>
  <c r="N29" i="6" s="1"/>
  <c r="AB17" i="1"/>
  <c r="AV14" i="1"/>
  <c r="F33" i="24"/>
  <c r="G33" i="24" s="1"/>
  <c r="AW33" i="1"/>
  <c r="F14" i="24" l="1"/>
  <c r="AV17" i="1"/>
  <c r="AW14" i="1"/>
  <c r="AW17" i="1" s="1"/>
  <c r="N31" i="6"/>
  <c r="E40" i="1" s="1"/>
  <c r="D30" i="24"/>
  <c r="Z30" i="1"/>
  <c r="P26" i="6"/>
  <c r="AB39" i="1" s="1"/>
  <c r="P24" i="6"/>
  <c r="AV39" i="1" l="1"/>
  <c r="AW39" i="1" s="1"/>
  <c r="O27" i="6"/>
  <c r="O29" i="6" s="1"/>
  <c r="O31" i="6" s="1"/>
  <c r="O32" i="6" s="1"/>
  <c r="N32" i="6"/>
  <c r="E30" i="24"/>
  <c r="Y40" i="1"/>
  <c r="E42" i="1"/>
  <c r="E44" i="1" s="1"/>
  <c r="F17" i="24"/>
  <c r="G14" i="24"/>
  <c r="G17" i="24" s="1"/>
  <c r="AB30" i="1"/>
  <c r="P27" i="6"/>
  <c r="P29" i="6" s="1"/>
  <c r="F39" i="24"/>
  <c r="G39" i="24" s="1"/>
  <c r="D40" i="24" l="1"/>
  <c r="Z40" i="1"/>
  <c r="Y42" i="1"/>
  <c r="Y44" i="1" s="1"/>
  <c r="E71" i="1"/>
  <c r="E74" i="1" s="1"/>
  <c r="E61" i="1"/>
  <c r="E62" i="1" s="1"/>
  <c r="P31" i="6"/>
  <c r="AB40" i="1" s="1"/>
  <c r="AV30" i="1"/>
  <c r="AV40" i="1" l="1"/>
  <c r="P32" i="6"/>
  <c r="AB42" i="1"/>
  <c r="AB44" i="1" s="1"/>
  <c r="Y71" i="1"/>
  <c r="Y74" i="1" s="1"/>
  <c r="Y61" i="1"/>
  <c r="Y62" i="1" s="1"/>
  <c r="Z42" i="1"/>
  <c r="Z44" i="1" s="1"/>
  <c r="E40" i="24"/>
  <c r="E42" i="24" s="1"/>
  <c r="E44" i="24" s="1"/>
  <c r="D42" i="24"/>
  <c r="D44" i="24" s="1"/>
  <c r="D61" i="24" s="1"/>
  <c r="D62" i="24" s="1"/>
  <c r="F30" i="24"/>
  <c r="AW30" i="1"/>
  <c r="AV42" i="1"/>
  <c r="AV44" i="1" s="1"/>
  <c r="F40" i="24"/>
  <c r="AX41" i="1"/>
  <c r="AW40" i="1"/>
  <c r="AB61" i="1" l="1"/>
  <c r="AB62" i="1" s="1"/>
  <c r="G40" i="24"/>
  <c r="AB71" i="1"/>
  <c r="AB74" i="1" s="1"/>
  <c r="P1" i="6"/>
  <c r="Z71" i="1"/>
  <c r="Z74" i="1" s="1"/>
  <c r="Z48" i="1"/>
  <c r="Z61" i="1"/>
  <c r="Z62" i="1" s="1"/>
  <c r="D67" i="24"/>
  <c r="E67" i="24"/>
  <c r="E48" i="24"/>
  <c r="E61" i="24"/>
  <c r="E62" i="24" s="1"/>
  <c r="E65" i="24" s="1"/>
  <c r="AV71" i="1"/>
  <c r="AV74" i="1" s="1"/>
  <c r="AV61" i="1"/>
  <c r="AV62" i="1" s="1"/>
  <c r="AW42" i="1"/>
  <c r="AW44" i="1" s="1"/>
  <c r="G30" i="24"/>
  <c r="F42" i="24"/>
  <c r="F44" i="24" s="1"/>
  <c r="F61" i="24" s="1"/>
  <c r="F62" i="24" s="1"/>
  <c r="AW71" i="1" l="1"/>
  <c r="AW74" i="1" s="1"/>
  <c r="AW48" i="1"/>
  <c r="AW61" i="1"/>
  <c r="AW62" i="1" s="1"/>
  <c r="F67" i="24"/>
  <c r="G42" i="24"/>
  <c r="G44" i="24" s="1"/>
  <c r="G61" i="24" l="1"/>
  <c r="G62" i="24" s="1"/>
  <c r="G65" i="24" s="1"/>
  <c r="C17" i="2"/>
  <c r="G48" i="24"/>
  <c r="G67" i="24"/>
  <c r="T17" i="2" l="1"/>
  <c r="T71" i="2" s="1"/>
  <c r="V17" i="2"/>
  <c r="V71" i="2" s="1"/>
  <c r="H32" i="26"/>
  <c r="H33" i="26" s="1"/>
  <c r="H3" i="26" s="1"/>
  <c r="C18" i="2"/>
  <c r="V18" i="2" l="1"/>
  <c r="V72" i="2" s="1"/>
  <c r="T18" i="2"/>
  <c r="T72" i="2" s="1"/>
  <c r="C21" i="2"/>
  <c r="I32" i="26"/>
  <c r="I33" i="26" s="1"/>
  <c r="I3" i="26" s="1"/>
  <c r="T21" i="2" l="1"/>
  <c r="T75" i="2" s="1"/>
  <c r="K32" i="26"/>
  <c r="V21" i="2"/>
  <c r="V75" i="2" s="1"/>
  <c r="H39" i="24"/>
  <c r="I39" i="24" s="1"/>
  <c r="H30" i="24"/>
  <c r="H14" i="24"/>
  <c r="C28" i="2"/>
  <c r="H33" i="24"/>
  <c r="I33" i="24" s="1"/>
  <c r="H40" i="24"/>
  <c r="I40" i="24" s="1"/>
  <c r="K33" i="26" l="1"/>
  <c r="K3" i="26" s="1"/>
  <c r="L32" i="26"/>
  <c r="H42" i="24"/>
  <c r="I30" i="24"/>
  <c r="I42" i="24" s="1"/>
  <c r="T28" i="2"/>
  <c r="T82" i="2" s="1"/>
  <c r="V28" i="2"/>
  <c r="V82" i="2" s="1"/>
  <c r="I14" i="24"/>
  <c r="I17" i="24" s="1"/>
  <c r="I44" i="24" s="1"/>
  <c r="H17" i="24"/>
  <c r="H44" i="24" l="1"/>
  <c r="H61" i="24" s="1"/>
  <c r="H62" i="24" s="1"/>
  <c r="I11" i="24"/>
  <c r="I61" i="24"/>
  <c r="I62" i="24" s="1"/>
  <c r="I48" i="24"/>
  <c r="D18" i="25" l="1"/>
  <c r="G18" i="25" s="1"/>
  <c r="E22" i="25"/>
  <c r="G22" i="25" s="1"/>
  <c r="H22" i="25" s="1"/>
  <c r="I22" i="25" s="1"/>
  <c r="K22" i="25" l="1"/>
  <c r="H18" i="25"/>
  <c r="I18" i="25" l="1"/>
  <c r="L53" i="25" l="1"/>
  <c r="K18" i="25"/>
  <c r="H30" i="25" l="1"/>
  <c r="I30" i="25" l="1"/>
  <c r="H49" i="25"/>
  <c r="I49" i="25" l="1"/>
  <c r="P49" i="25" s="1"/>
  <c r="K30" i="25"/>
  <c r="P42" i="2" l="1"/>
  <c r="P22" i="2" l="1"/>
  <c r="P52" i="2" s="1"/>
  <c r="P15" i="2"/>
  <c r="P45" i="2" s="1"/>
  <c r="C32" i="2" l="1"/>
  <c r="P25" i="2"/>
  <c r="P55" i="2" s="1"/>
  <c r="T32" i="2" l="1"/>
  <c r="T86" i="2" s="1"/>
  <c r="V32" i="2"/>
  <c r="V86" i="2" s="1"/>
  <c r="C34" i="2"/>
  <c r="C30" i="2"/>
  <c r="V30" i="2" l="1"/>
  <c r="V84" i="2" s="1"/>
  <c r="T30" i="2"/>
  <c r="T84" i="2" s="1"/>
  <c r="T34" i="2"/>
  <c r="T88" i="2" s="1"/>
  <c r="V34" i="2"/>
  <c r="I50" i="25" l="1"/>
  <c r="V88" i="2"/>
  <c r="I51" i="25" l="1"/>
  <c r="P50" i="25"/>
  <c r="I53" i="25" l="1"/>
  <c r="P51" i="25"/>
  <c r="J53" i="25" l="1"/>
  <c r="P53" i="25"/>
</calcChain>
</file>

<file path=xl/sharedStrings.xml><?xml version="1.0" encoding="utf-8"?>
<sst xmlns="http://schemas.openxmlformats.org/spreadsheetml/2006/main" count="1781" uniqueCount="724">
  <si>
    <t>OPERATING REVENUES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</si>
  <si>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</si>
  <si>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</si>
  <si>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</si>
  <si>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</si>
  <si>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</si>
  <si>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</si>
  <si>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</si>
  <si>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</si>
  <si>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</si>
  <si>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</si>
  <si>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</si>
  <si>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</si>
  <si>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</si>
  <si>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</si>
  <si>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</si>
  <si>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</si>
  <si>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</si>
  <si>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</si>
  <si>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</si>
  <si>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</si>
  <si>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</si>
  <si>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</si>
  <si>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</si>
  <si>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</si>
  <si>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</si>
  <si>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</si>
  <si>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</si>
  <si>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</si>
  <si>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</si>
  <si>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</si>
  <si>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</si>
  <si>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</si>
  <si>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</si>
  <si>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</si>
  <si>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</si>
  <si>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</si>
  <si>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</si>
  <si>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</si>
  <si>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REVENUES</t>
  </si>
  <si>
    <t>FEDERAL</t>
  </si>
  <si>
    <t>ADJUSTMENT</t>
  </si>
  <si>
    <t>&amp; EXPENSES</t>
  </si>
  <si>
    <t>INCOME TAX</t>
  </si>
  <si>
    <t>D&amp;O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</si>
  <si>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</si>
  <si>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</si>
  <si>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</si>
  <si>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</si>
  <si>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</si>
  <si>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</si>
  <si>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</si>
  <si>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</si>
  <si>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</si>
  <si>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</si>
  <si>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</si>
  <si>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</si>
  <si>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</si>
  <si>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</si>
  <si>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</si>
  <si>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</si>
  <si>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</si>
  <si>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</si>
  <si>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</si>
  <si>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</si>
  <si>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</si>
  <si>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</si>
  <si>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</si>
  <si>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</si>
  <si>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</si>
  <si>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</si>
  <si>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</si>
  <si>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</si>
  <si>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</si>
  <si>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</si>
  <si>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</si>
  <si>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</si>
  <si>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</si>
  <si>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PROFORMA</t>
  </si>
  <si>
    <t>INCREASE (DECREASE) INCOME</t>
  </si>
  <si>
    <t>INCREASE (DECREASE) NOI</t>
  </si>
  <si>
    <t>INCREASE (DECREASE) EXPENSE</t>
  </si>
  <si>
    <t>RESTATED</t>
  </si>
  <si>
    <t>INCREASE (DECREASE) OPERATING EXPENSE</t>
  </si>
  <si>
    <t>INCREASE (DECREASE) FIT</t>
  </si>
  <si>
    <t>PAYROLL TAXES</t>
  </si>
  <si>
    <t>INCREASE(DECREASE) EXPENSE</t>
  </si>
  <si>
    <t xml:space="preserve">INCREASE(DECREASE) FIT </t>
  </si>
  <si>
    <t>INCREASE(DECREASE) NOI</t>
  </si>
  <si>
    <t>Comp</t>
  </si>
  <si>
    <t>RY</t>
  </si>
  <si>
    <t>TEMPERATURE NORMALIZATION</t>
  </si>
  <si>
    <t>UNCOLLECTIBLES @</t>
  </si>
  <si>
    <t>ANNUAL FILING FEE @</t>
  </si>
  <si>
    <t>INCREASE (DECREASE) EXPENSES</t>
  </si>
  <si>
    <t>STATE UTILITY TAX @</t>
  </si>
  <si>
    <t>INCREASE (DECREASE) TAXES OTHER</t>
  </si>
  <si>
    <t>INCREASE (DECREASE) FIT @</t>
  </si>
  <si>
    <t>REVENUES AND EXPENSES</t>
  </si>
  <si>
    <t>REMOVE LOW INCOME AMORTIZATION - SCHEDULE 129</t>
  </si>
  <si>
    <t>DECREASE REVENUE SENSITIVE ITEMS FOR DECREASE IN REVENUES:</t>
  </si>
  <si>
    <t>REMOVE EXPENSES ASSOCIATED WITH RIDERS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</si>
  <si>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</si>
  <si>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</si>
  <si>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</si>
  <si>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</si>
  <si>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</si>
  <si>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</si>
  <si>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</si>
  <si>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</si>
  <si>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</si>
  <si>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</si>
  <si>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</si>
  <si>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</si>
  <si>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</si>
  <si>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</si>
  <si>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</si>
  <si>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</si>
  <si>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</si>
  <si>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</si>
  <si>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PERCENT</t>
  </si>
  <si>
    <t>WRITEOFF'S</t>
  </si>
  <si>
    <t>TO REVENUE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</si>
  <si>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</si>
  <si>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</si>
  <si>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</si>
  <si>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</si>
  <si>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</si>
  <si>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</si>
  <si>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</si>
  <si>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</si>
  <si>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</si>
  <si>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</si>
  <si>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</si>
  <si>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</si>
  <si>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</si>
  <si>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</si>
  <si>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</si>
  <si>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</si>
  <si>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</si>
  <si>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</si>
  <si>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</si>
  <si>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</si>
  <si>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</si>
  <si>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</si>
  <si>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</si>
  <si>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</si>
  <si>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</si>
  <si>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</si>
  <si>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</si>
  <si>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</si>
  <si>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</si>
  <si>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</si>
  <si>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</si>
  <si>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</si>
  <si>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ROR</t>
  </si>
  <si>
    <t>EMPLOYEE INSURANCE</t>
  </si>
  <si>
    <t>12 ME APRIL 2021</t>
  </si>
  <si>
    <t>COMMON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</si>
  <si>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</si>
  <si>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</si>
  <si>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</si>
  <si>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</si>
  <si>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</si>
  <si>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</si>
  <si>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DECOUPLING SCH 142 REVENUE</t>
  </si>
  <si>
    <t>REMOVE DECOUPLING SCH 142 SURCHARGE AMORT EXPENSE</t>
  </si>
  <si>
    <t>REMOVE PROPERTY TAX AMORTIZATION EXP - SCHEDULE 140</t>
  </si>
  <si>
    <t>INCREASE(DECREASE ) IN INCOME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</si>
  <si>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</si>
  <si>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</si>
  <si>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</si>
  <si>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</si>
  <si>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</si>
  <si>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</si>
  <si>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</si>
  <si>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CF</t>
  </si>
  <si>
    <t>Surplus / (Deficiency)</t>
  </si>
  <si>
    <t>Revenue Requirement or (Surplus)</t>
  </si>
  <si>
    <t>RESTATING</t>
  </si>
  <si>
    <t>PROFORMING</t>
  </si>
  <si>
    <t>PROFORMA'D</t>
  </si>
  <si>
    <t xml:space="preserve">RESTATING </t>
  </si>
  <si>
    <t>`</t>
  </si>
  <si>
    <t>DFIT</t>
  </si>
  <si>
    <t>AMI</t>
  </si>
  <si>
    <t>%'s</t>
  </si>
  <si>
    <t>INCREASE(DECREASE) OPERATING EXPENSE (LINE 2)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</si>
  <si>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</si>
  <si>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</si>
  <si>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</si>
  <si>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</si>
  <si>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</si>
  <si>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</si>
  <si>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</si>
  <si>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12 MONTHS ENDED DECEMBER 31, 2018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</si>
  <si>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</si>
  <si>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</si>
  <si>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</si>
  <si>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</si>
  <si>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</si>
  <si>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</si>
  <si>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</si>
  <si>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</si>
  <si>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</si>
  <si>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</si>
  <si>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</si>
  <si>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</si>
  <si>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</si>
  <si>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</si>
  <si>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x</t>
  </si>
  <si>
    <t>y</t>
  </si>
  <si>
    <t>z</t>
  </si>
  <si>
    <t>am</t>
  </si>
  <si>
    <t>ao</t>
  </si>
  <si>
    <t>ap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</si>
  <si>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</si>
  <si>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</si>
  <si>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</si>
  <si>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</si>
  <si>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</si>
  <si>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</si>
  <si>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</si>
  <si>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</si>
  <si>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</si>
  <si>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</si>
  <si>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</si>
  <si>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CREDIT  CARD</t>
  </si>
  <si>
    <t>NORMALIZATION</t>
  </si>
  <si>
    <t>REV &amp; EXP</t>
  </si>
  <si>
    <t>DAMAGES</t>
  </si>
  <si>
    <t>DEBTS</t>
  </si>
  <si>
    <t>PAY</t>
  </si>
  <si>
    <t>&amp; FILING FEE</t>
  </si>
  <si>
    <t>EXPENSE</t>
  </si>
  <si>
    <t>RENT EXP</t>
  </si>
  <si>
    <t>AMORT</t>
  </si>
  <si>
    <t>COST</t>
  </si>
  <si>
    <t>ENVIRON</t>
  </si>
  <si>
    <t>INTEREST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</si>
  <si>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</si>
  <si>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</si>
  <si>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</si>
  <si>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</si>
  <si>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</si>
  <si>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>GAS</t>
  </si>
  <si>
    <t>MUNICIPAL ADDITIONS</t>
  </si>
  <si>
    <t>GAS COSTS:</t>
  </si>
  <si>
    <t>PURCHASED GAS</t>
  </si>
  <si>
    <t>INCREASE (DECREASE) OPERATING INCOME</t>
  </si>
  <si>
    <t xml:space="preserve">  ACCUMULATED DEPRECIATION</t>
  </si>
  <si>
    <t xml:space="preserve">  ACCUMULATED DEFERRED FIT - LIBERALIZED</t>
  </si>
  <si>
    <t xml:space="preserve">  DEPRECIATION AND OTHER LIABILITIES</t>
  </si>
  <si>
    <t>REMOVE REVENUES ASSOCIATED WITH RIDERS:</t>
  </si>
  <si>
    <t>REMOVE LOW INCOME RIDER - SCHEDULE 129</t>
  </si>
  <si>
    <t>REMOVE CONSERVATION TRACKER - SCHEDULE 120</t>
  </si>
  <si>
    <t>REMOVE REVENUE ASSOC WITH PGA AMORTIZATION - SCHEDULE 106</t>
  </si>
  <si>
    <t>REMOVE CARBON OFFSET - SCHEDULE 137</t>
  </si>
  <si>
    <t>REMOVE OTHER ASSOC WITH CARBON OFFSET - SCHEDULE 137</t>
  </si>
  <si>
    <t>REMOVE MUNICIPAL TAXES ASSOC WITH SALES TO CUSTOMERS</t>
  </si>
  <si>
    <t>REMOVE MUNICIPAL TAXES ASSOC WITH OTHER OPRTG REV</t>
  </si>
  <si>
    <t>TOTAL (INCREASE) DECREASE REVENUES</t>
  </si>
  <si>
    <t xml:space="preserve">STATE UTILITY TAX </t>
  </si>
  <si>
    <t xml:space="preserve">TOTAL </t>
  </si>
  <si>
    <t>REMOVE CONSERVATION AMORTIZATION - SCHEDULE 120</t>
  </si>
  <si>
    <t>REMOVE PGA DEFERRAL AMORTIZATION EXP - SCHEDULE 106</t>
  </si>
  <si>
    <t>CAPITAL</t>
  </si>
  <si>
    <t>WEIGHTED</t>
  </si>
  <si>
    <t>STRUCTURE</t>
  </si>
  <si>
    <t>EXPENSES OF LAST 2 COMPLETED GRCS (2017 GRC AND 2011 GRC) TO BE NORMALIZED</t>
  </si>
  <si>
    <t>AFTER TAX SHORT TERM DEBT ( (LINE 1)* 79%)</t>
  </si>
  <si>
    <t>reversing</t>
  </si>
  <si>
    <t>CRM</t>
  </si>
  <si>
    <t>GTZ</t>
  </si>
  <si>
    <t>ADJUSTMENT TO OPERATING REVENUES</t>
  </si>
  <si>
    <t xml:space="preserve">PROFORM SCH. 149 REVENUE </t>
  </si>
  <si>
    <t>ADJUSTMENT TO OPERATING EXPENSES</t>
  </si>
  <si>
    <t>403 DEPRECIATION EXPENSE</t>
  </si>
  <si>
    <t xml:space="preserve"> ADJUSTED DEPRECIATION EXPENSE</t>
  </si>
  <si>
    <t>ADJUSTMENT TO RATE BASE</t>
  </si>
  <si>
    <t>PLANT</t>
  </si>
  <si>
    <t>ACCUMULATED DEFERRED INCOME TAXES</t>
  </si>
  <si>
    <t>TOTAL  ADJUSTMENT TO RATEBASE</t>
  </si>
  <si>
    <t>DEPRECIATION RESTATEMENT</t>
  </si>
  <si>
    <t>SUBTOTAL DEPRECIATION EXPENSE 403</t>
  </si>
  <si>
    <t>TOTAL DEPRECIATION AND ACCRETION</t>
  </si>
  <si>
    <t>TOTAL ADJUSTMENT TO RATEBASE</t>
  </si>
  <si>
    <t>NON-UNION EMPLOYEES</t>
  </si>
  <si>
    <t>TOTAL INSURANCE COSTS</t>
  </si>
  <si>
    <t>CHARGED TO EXPENSE</t>
  </si>
  <si>
    <t>INCREASE (DECREASE ) EXPENSE</t>
  </si>
  <si>
    <t xml:space="preserve">EMPLOYEE </t>
  </si>
  <si>
    <t>PROP &amp; LIAB</t>
  </si>
  <si>
    <t>INS</t>
  </si>
  <si>
    <t>PRODUCTION MANUF. GAS</t>
  </si>
  <si>
    <t>OTHER GAS SUPPLY</t>
  </si>
  <si>
    <t>STORAGE, LNG T&amp;G</t>
  </si>
  <si>
    <t>INCREASE (DECREASE) FIT @ 21%</t>
  </si>
  <si>
    <t>NON-UNION (INC. EXECUTIVES)</t>
  </si>
  <si>
    <t>COSTS APPLICABLE TO OPERATIONS</t>
  </si>
  <si>
    <t>INCREASE (DECREASE) IN EXPENSE</t>
  </si>
  <si>
    <t>INCREASE(DECREASE) OPERATING EXPENSE (LINE 3)</t>
  </si>
  <si>
    <t>PAYROLL TAX</t>
  </si>
  <si>
    <t>WAGE &amp;</t>
  </si>
  <si>
    <t>TOTAL PROFORMA COSTS (LN 2 + LN 5 + LN 8)</t>
  </si>
  <si>
    <t xml:space="preserve">INCREASE (DECREASE) FIT @ 21% </t>
  </si>
  <si>
    <t>D &amp; O INS. CHG  EXPENSE</t>
  </si>
  <si>
    <t>REMOVE EARNINGS SHARING ACCRUALS</t>
  </si>
  <si>
    <t>UG_________</t>
  </si>
  <si>
    <t>check s/b zero==&gt;</t>
  </si>
  <si>
    <t>Check to Detailed Summary</t>
  </si>
  <si>
    <t>NOI s/b zero==&gt;</t>
  </si>
  <si>
    <t>Ratebase s/b zero==&gt;</t>
  </si>
  <si>
    <t>INCENTIVE / MERIT PAY:</t>
  </si>
  <si>
    <t>PAYMENT PROCESSING FEES</t>
  </si>
  <si>
    <t>ANNUALIZE RENT EXPENSE</t>
  </si>
  <si>
    <t>REMOVE UNPRO-</t>
  </si>
  <si>
    <t>TECTED DFIT</t>
  </si>
  <si>
    <t>PUBLIC</t>
  </si>
  <si>
    <t>IMPROVEMENT</t>
  </si>
  <si>
    <t>o</t>
  </si>
  <si>
    <t xml:space="preserve">p </t>
  </si>
  <si>
    <t xml:space="preserve">q </t>
  </si>
  <si>
    <t xml:space="preserve">r </t>
  </si>
  <si>
    <t xml:space="preserve">s </t>
  </si>
  <si>
    <t xml:space="preserve">t </t>
  </si>
  <si>
    <t>aa</t>
  </si>
  <si>
    <t>ab</t>
  </si>
  <si>
    <t>ac</t>
  </si>
  <si>
    <t>ad</t>
  </si>
  <si>
    <t>ae</t>
  </si>
  <si>
    <t>af</t>
  </si>
  <si>
    <t>ag</t>
  </si>
  <si>
    <t>aj</t>
  </si>
  <si>
    <t>ah</t>
  </si>
  <si>
    <t>ai</t>
  </si>
  <si>
    <t>ak</t>
  </si>
  <si>
    <t>al</t>
  </si>
  <si>
    <t>PSE BLDG</t>
  </si>
  <si>
    <t>EST BLDG</t>
  </si>
  <si>
    <t>Parking</t>
  </si>
  <si>
    <t>Bothell O</t>
  </si>
  <si>
    <t>Bothell G/H</t>
  </si>
  <si>
    <t>Vernell</t>
  </si>
  <si>
    <t>UTILITY PLANT RATEBASE</t>
  </si>
  <si>
    <t>PLANT BALANCE</t>
  </si>
  <si>
    <t xml:space="preserve">ACCUM DEPRECIATION </t>
  </si>
  <si>
    <t xml:space="preserve">DEFERRED FIT </t>
  </si>
  <si>
    <t>TOTAL  RATEBASE</t>
  </si>
  <si>
    <t>CONTRACT</t>
  </si>
  <si>
    <t>ESCALATIONS</t>
  </si>
  <si>
    <t>RATEBASE (AMA) UTILITY PLANT RATEBASE</t>
  </si>
  <si>
    <t>PLANT ADDITIONS JAN-JUN 2019  (1)</t>
  </si>
  <si>
    <t>ACCUM DEPRECIATION  (1)</t>
  </si>
  <si>
    <t>DEFERRED INCOME TAX LIABILITY  (1)</t>
  </si>
  <si>
    <t>DEPRECIATION DEFERRAL  (3)</t>
  </si>
  <si>
    <t>ACCUM AMORT ON DEPRECIATION DEFERRAL  (2)</t>
  </si>
  <si>
    <t>DFIT ON DEPRECIATION DEFERRAL  (2)</t>
  </si>
  <si>
    <t>NET RATEBASE</t>
  </si>
  <si>
    <t>OPERATING EXPENSE</t>
  </si>
  <si>
    <t>DEPRECIATION EXPENSE  (1)</t>
  </si>
  <si>
    <t>AMORT OF DEF'D RETURN THROUGH APR 2020:  3YRS MAY '20 - APR '23  (2)</t>
  </si>
  <si>
    <t>AMORT OF DEF'D DEPREC THROUGH APR 2020:  3YRS MAY '20 - APR '23  (3)</t>
  </si>
  <si>
    <t>TOTAL OPERATING EXPENSES</t>
  </si>
  <si>
    <t>CONTRACT ESCALATIONS</t>
  </si>
  <si>
    <t>INCREASE (DECREASE) OPERATING INCOME BEFORE INCOME TAXES</t>
  </si>
  <si>
    <t>PURCHASED GAS COST</t>
  </si>
  <si>
    <t>UNPROTECTED EXCESS DEFERRED INCOME TAXES</t>
  </si>
  <si>
    <t>RATEBASE:</t>
  </si>
  <si>
    <t>UNPROTECTED DFIT</t>
  </si>
  <si>
    <t>EXPENSES:</t>
  </si>
  <si>
    <t>411.1 ANNUAL AMORTIZATION</t>
  </si>
  <si>
    <t xml:space="preserve">INCREASE (DECREASE) FIT </t>
  </si>
  <si>
    <t>N/A</t>
  </si>
  <si>
    <t>UTILITY PLANT</t>
  </si>
  <si>
    <t>PLANT ADDITIONS JAN-JUN 2019</t>
  </si>
  <si>
    <t>ACCUM DEPRECIATION</t>
  </si>
  <si>
    <t>DEFERRED INCOME TAX LIABILITY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</si>
  <si>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</si>
  <si>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</si>
  <si>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</si>
  <si>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</si>
  <si>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</si>
  <si>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</si>
  <si>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AMORTIZATION DEFERRAL</t>
  </si>
  <si>
    <t>AMORTIZATION OF CARRYING CHARGES DEFERRAL</t>
  </si>
  <si>
    <t>Four Factor Allocator</t>
  </si>
  <si>
    <t>GET TO ZERO PROFORMA PLANT ADDITIONS AND DEFERRAL ADJUSTMENT</t>
  </si>
  <si>
    <t xml:space="preserve"> OTHER</t>
  </si>
  <si>
    <t>REMOVE DECOUPLING DEFERRALS FROM TEST YEAR</t>
  </si>
  <si>
    <t>REMOVE REVENUE DEFERRALS FOR TAX REFORM</t>
  </si>
  <si>
    <t>REMOVE PGA CURTAILMENT</t>
  </si>
  <si>
    <t>REMOVE JACKSON PRAIRIE</t>
  </si>
  <si>
    <t xml:space="preserve">          SUB-TOTAL OTHER OPERATING REVNUE</t>
  </si>
  <si>
    <t>TOTAL INCREASE (DECREASE) IN REVENUES</t>
  </si>
  <si>
    <t>OPERTATING EXPENSES:</t>
  </si>
  <si>
    <t>TOTAL INCREASE (DECREASE) IN COSTS</t>
  </si>
  <si>
    <t>INCREASE (DECREASE) TAXES OTHER THAN FIT</t>
  </si>
  <si>
    <t>DEPRECIATION EXPENSE</t>
  </si>
  <si>
    <t>PUBLIC IMPROVEMENT</t>
  </si>
  <si>
    <t>HR TOP</t>
  </si>
  <si>
    <t>HR TOPS</t>
  </si>
  <si>
    <t>DEPRECIATION EXPENSE ON UTILITY PLANT</t>
  </si>
  <si>
    <t>403 GAS DEPRECIATION EXPENSE</t>
  </si>
  <si>
    <t>403 GAS PORTION OF COMMON</t>
  </si>
  <si>
    <t>403.1 GAS ASSET RETIREMENT COST DEPRECIATION</t>
  </si>
  <si>
    <t>411.10 GAS ASSET RETIREMENT OBLIGATION ACCRETION</t>
  </si>
  <si>
    <t>REMOVE PROPERTY TAXES ASSOC WITH OTHER OPRTG REV</t>
  </si>
  <si>
    <t>REMOVE CARBON OFFSET 805 EXPENSE - SCHEDULE 137</t>
  </si>
  <si>
    <t>REMOVE CARBON OFFSET 908 EXPENSE - SCHEDULE 137</t>
  </si>
  <si>
    <t>Small Offices:</t>
  </si>
  <si>
    <t>Oak Harbor Office</t>
  </si>
  <si>
    <t>Bellingham Business Office</t>
  </si>
  <si>
    <t>LRO and Commissions</t>
  </si>
  <si>
    <t>South Whidbey Business Office (Freeland)</t>
  </si>
  <si>
    <t>Ellensburg Office</t>
  </si>
  <si>
    <t>PSE BLDG 4th Floor Rent</t>
  </si>
  <si>
    <t>PSE BLDG 4th Sublease</t>
  </si>
  <si>
    <t>404 GAS DEPRECIATION EXPENSE</t>
  </si>
  <si>
    <t>404 GAS PORTION OF COMMON</t>
  </si>
  <si>
    <t xml:space="preserve">REMOVE 2018 CRM </t>
  </si>
  <si>
    <t>REMOVE</t>
  </si>
  <si>
    <t>2018 CRM</t>
  </si>
  <si>
    <t>8.01 GP</t>
  </si>
  <si>
    <t>SCH. 149</t>
  </si>
  <si>
    <t>8.02 GP</t>
  </si>
  <si>
    <t>ADJUSTMENT TO EXPENSE</t>
  </si>
  <si>
    <t>AVERAGE PRICING PER THERM</t>
  </si>
  <si>
    <t>LESS AVOIDED DPERECIATION FROM AMR RETIREMENTS IN RATE YR (1)</t>
  </si>
  <si>
    <t>PROFORM EXISTING CRM</t>
  </si>
  <si>
    <t>NATURAL GAS STATEMENT OF OPERATING INCOME</t>
  </si>
  <si>
    <t>PUGET SOUND ENERGY - NATURAL GAS</t>
  </si>
  <si>
    <t>c = a + b</t>
  </si>
  <si>
    <t>e = c + d</t>
  </si>
  <si>
    <t>g = e + f</t>
  </si>
  <si>
    <t>RESULTS OF OPERATIONS</t>
  </si>
  <si>
    <t>COST OF CAPITAL - TEST YEAR</t>
  </si>
  <si>
    <t>COST OF CAPITAL - PROFORMA</t>
  </si>
  <si>
    <t>u</t>
  </si>
  <si>
    <t>v = ∑ b through u</t>
  </si>
  <si>
    <t>w = a + v</t>
  </si>
  <si>
    <t>an</t>
  </si>
  <si>
    <t>ar</t>
  </si>
  <si>
    <t>Exh. SEF-8G page 1 of 2</t>
  </si>
  <si>
    <t>Exh. SEF-8G page 2 of 2</t>
  </si>
  <si>
    <t>RENTALS - MERGER RATE CREDIT ON SCH 132</t>
  </si>
  <si>
    <t xml:space="preserve">  REMOVE SCHEDULE 141</t>
  </si>
  <si>
    <t xml:space="preserve">  ANNUALIZE PGA RATE</t>
  </si>
  <si>
    <t xml:space="preserve">  REMOVE MERGER RATE CREDIT SCHEDULE 132</t>
  </si>
  <si>
    <t>OTHER</t>
  </si>
  <si>
    <t>ANNUALIZE PGA GAS COSTS</t>
  </si>
  <si>
    <t xml:space="preserve"> ANNUALIZE TAX REFORM  (DOCKET UG-180283)</t>
  </si>
  <si>
    <t>ADJ 8.01 GP</t>
  </si>
  <si>
    <t>ADJ 8.02 GP</t>
  </si>
  <si>
    <t>TEMPERATURE NORMALIZATION ADJUSTMENT</t>
  </si>
  <si>
    <t>NOTE 1</t>
  </si>
  <si>
    <t>CUST</t>
  </si>
  <si>
    <t>DEP INT</t>
  </si>
  <si>
    <t>OF INTEREST</t>
  </si>
  <si>
    <t>TAX BENEFIT</t>
  </si>
  <si>
    <t>DEFERRED G/L</t>
  </si>
  <si>
    <t>TOTAL DEFERRED DEPRECIATION</t>
  </si>
  <si>
    <t/>
  </si>
  <si>
    <t>(1)  PRO FORMA PLANT ADDITIONS</t>
  </si>
  <si>
    <t xml:space="preserve">(2)  AMORT OF DEFERRAL OF RETURN ON INVESTMENT </t>
  </si>
  <si>
    <t>(3)  AMORT OF DEFERRAL OF DERPRECIATION</t>
  </si>
  <si>
    <t>THERMS</t>
  </si>
  <si>
    <t xml:space="preserve">          SUB-TOTAL RETAIL REVENUE</t>
  </si>
  <si>
    <t xml:space="preserve">c </t>
  </si>
  <si>
    <t>aq</t>
  </si>
  <si>
    <t>as ∑ x thru ar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</si>
  <si>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</si>
  <si>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</si>
  <si>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</si>
  <si>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</si>
  <si>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DECREASE TO SCHEDULE 149 GAS COST RECOVERY MECHANISM FOR PIPELINE REPLACEMENT</t>
  </si>
  <si>
    <t>NET REVENUE</t>
  </si>
  <si>
    <t>CHANGE TO</t>
  </si>
  <si>
    <t>BASE RATES</t>
  </si>
  <si>
    <t xml:space="preserve">NOTE 1 - BECAUSE REVENUES ARE REFLECTED IN MULTIPLE REVENUE REQUIREMENT ADJUSTMENTS, IT IS NOT POSSIBLE TO PORTRAY TEST YEAR, </t>
  </si>
  <si>
    <t>RESTATED AND PROFORMA AMOUNTS AND SO ONLY THE AMOUNT OF THE ADJUSTMENTS IS DISPLAYED</t>
  </si>
  <si>
    <t>INCREASE (DECREASE) FIT @ 21% (LINE 4 X 21%)</t>
  </si>
  <si>
    <t xml:space="preserve">ADJUSTMENT TO ACCUM. DEPREC. AT 100% DEPREC. EXP. </t>
  </si>
  <si>
    <t>EXH. SEF-3G page 2 of 3</t>
  </si>
  <si>
    <t>EXH. SEF-5G page 4 of 4</t>
  </si>
  <si>
    <t>at = w + as</t>
  </si>
  <si>
    <t xml:space="preserve">NON-DECOUPLED / DECOUPLED </t>
  </si>
  <si>
    <t>NON-DECOUPLED THERMS</t>
  </si>
  <si>
    <t>DECOUPLED THERMS</t>
  </si>
  <si>
    <t>AMORTIZATION OF DEFERRED ENVIRONMENTAL REMEDIATION COSTS AND RECOVERIES</t>
  </si>
  <si>
    <t xml:space="preserve">ACCUM DEPRECIATION  </t>
  </si>
  <si>
    <t xml:space="preserve">DEFERRED INCOME TAX LIABILITY  </t>
  </si>
  <si>
    <t xml:space="preserve">DEPRECIATION EXPENSE  </t>
  </si>
  <si>
    <t>REDUCTION TO SUPPORTED AMOUNT</t>
  </si>
  <si>
    <t>ATTRITION ADJUSTMENT</t>
  </si>
  <si>
    <t xml:space="preserve">INCREASE (DECREASE) FIT  </t>
  </si>
  <si>
    <t xml:space="preserve">PLANT ADDITIONS </t>
  </si>
  <si>
    <t xml:space="preserve"> REVENUE CHANGE BEFORE ATTRITION AND RIDERS</t>
  </si>
  <si>
    <t>AMOUNT</t>
  </si>
  <si>
    <t>CHANGES TO OTHER PRICE SCHEDULES</t>
  </si>
  <si>
    <t>NET REVENUE CHANGE AFTER ATTRITION</t>
  </si>
  <si>
    <t>EXH. SEF-3G page 4 of 4</t>
  </si>
  <si>
    <t>EXH. SEF-3G page 3 of 4</t>
  </si>
  <si>
    <t>ATTRITION DEFICIENCY SUPPORTED BY RON AMEN (EXH. RJA-4)</t>
  </si>
  <si>
    <t>NET REVENUE CHANGE AFTER ATTRITION FROM PAGE 4 OF 4</t>
  </si>
  <si>
    <t>EXH. SEF-3G page 1 of 4</t>
  </si>
  <si>
    <t>BEFORE CHANGES</t>
  </si>
  <si>
    <t>NOI - After</t>
  </si>
  <si>
    <t>RATEBASE - After</t>
  </si>
  <si>
    <t>AFTER CHANGES</t>
  </si>
  <si>
    <t>DIFFERENCE</t>
  </si>
  <si>
    <t>NOI</t>
  </si>
  <si>
    <t>RATEBASE</t>
  </si>
  <si>
    <t>CHANGES TO OTHER PRICE SCHEDULES FROM EXH. JAP-15:</t>
  </si>
  <si>
    <t>NET REVENUE CHANGE REQUESTED EXH. JAP-15</t>
  </si>
  <si>
    <t>Difference in</t>
  </si>
  <si>
    <t>Rate Base</t>
  </si>
  <si>
    <t>Conversion</t>
  </si>
  <si>
    <t>Description</t>
  </si>
  <si>
    <t>Escalation</t>
  </si>
  <si>
    <t>In Attrition</t>
  </si>
  <si>
    <t>ROR &amp; TBPFI</t>
  </si>
  <si>
    <t>Factor</t>
  </si>
  <si>
    <t>Growth Factor</t>
  </si>
  <si>
    <t>Def G/L Amortization</t>
  </si>
  <si>
    <t>Enviornmental Amortization</t>
  </si>
  <si>
    <t>Unprotected EDIT Reversals</t>
  </si>
  <si>
    <t>Total Before Attrition Limitation</t>
  </si>
  <si>
    <t>Impact on Attrition Limitation</t>
  </si>
  <si>
    <t>Total Impact</t>
  </si>
  <si>
    <t xml:space="preserve">     Difference</t>
  </si>
  <si>
    <t>From Model</t>
  </si>
  <si>
    <t>Sum of Above</t>
  </si>
  <si>
    <t>Rounding</t>
  </si>
  <si>
    <t>Rqrmt/Defcncy or (Surplus)</t>
  </si>
  <si>
    <r>
      <rPr>
        <sz val="10"/>
        <rFont val="Arial"/>
        <family val="2"/>
      </rPr>
      <t xml:space="preserve">Conv Fctr    </t>
    </r>
    <r>
      <rPr>
        <sz val="8"/>
        <rFont val="Arial"/>
        <family val="2"/>
      </rPr>
      <t xml:space="preserve">   (latest s/b = curr above)</t>
    </r>
  </si>
  <si>
    <t>Difference</t>
  </si>
  <si>
    <t>Return on Ratebase</t>
  </si>
  <si>
    <t>Rate of Return</t>
  </si>
  <si>
    <t>Ref</t>
  </si>
  <si>
    <t>linked</t>
  </si>
  <si>
    <t>2019 General Rate Case - December 31, 2018</t>
  </si>
  <si>
    <t>Gas Rollforward</t>
  </si>
  <si>
    <t>Puget Sound Energy</t>
  </si>
  <si>
    <t>Supplemental</t>
  </si>
  <si>
    <t xml:space="preserve">Impacts </t>
  </si>
  <si>
    <t>Attrition?</t>
  </si>
  <si>
    <t>Yes</t>
  </si>
  <si>
    <t>No</t>
  </si>
  <si>
    <t>GTZ interest Rate correction</t>
  </si>
  <si>
    <t>n/a</t>
  </si>
  <si>
    <t>From Attrition</t>
  </si>
  <si>
    <t>if  applicable</t>
  </si>
  <si>
    <t>Requirement</t>
  </si>
  <si>
    <t>(Deficiency) or</t>
  </si>
  <si>
    <t>Surplus</t>
  </si>
  <si>
    <t>Amount Requested in Original Filing:</t>
  </si>
  <si>
    <t>Certain proforma adjustments that should have been included in attrition:</t>
  </si>
  <si>
    <t xml:space="preserve">Error corrections to proforma adjustments that impact traditional </t>
  </si>
  <si>
    <t>deficiency but don't impact attrition deficiency:</t>
  </si>
  <si>
    <t>Reversal of above because attrition eliminates these traditional adjustments:</t>
  </si>
  <si>
    <t>&lt;==check</t>
  </si>
  <si>
    <t>Gas Impacts</t>
  </si>
  <si>
    <t>Amount per AWEC 020</t>
  </si>
  <si>
    <t>AMI Deferral</t>
  </si>
  <si>
    <t>AMI Deferral Adjustment FOR ABOVE</t>
  </si>
  <si>
    <t>Other Operating Expense</t>
  </si>
  <si>
    <t>Total Impact AMI Deferral Amort</t>
  </si>
  <si>
    <t>GTZ Deferral</t>
  </si>
  <si>
    <t>moved deferral</t>
  </si>
  <si>
    <t>to other</t>
  </si>
  <si>
    <t>GTZ Deferral Adjustment FOR ABOVE</t>
  </si>
  <si>
    <t>Operating</t>
  </si>
  <si>
    <t>Expense</t>
  </si>
  <si>
    <t>Correction for incorrect formula in rate year non-plant ADIT</t>
  </si>
  <si>
    <t>Remove Remove Schedule 139 Green Direct  Rate Base from Oct 2018</t>
  </si>
  <si>
    <t>REBUTTAL==============================================================================&gt;</t>
  </si>
  <si>
    <t>Change in Pretax NOI form AWEC 20</t>
  </si>
  <si>
    <t>REBUTTAL</t>
  </si>
  <si>
    <t>Working Capital changed back to AMA</t>
  </si>
  <si>
    <t>Change Other Operating Expense Growth factor to 0%</t>
  </si>
  <si>
    <t>Cell F3 has to be Valued because prior adjustments are linking to and get wiped out when growth set to zero.</t>
  </si>
  <si>
    <t>s/b zero</t>
  </si>
  <si>
    <t>REMOVE GREEN DIRECT RB</t>
  </si>
  <si>
    <t>REMOVE GREEN</t>
  </si>
  <si>
    <t>DIRECT RB</t>
  </si>
  <si>
    <t>EXH. SEF-19G page 1 of 5</t>
  </si>
  <si>
    <t>EXH. SEF-19G page 2 of 5</t>
  </si>
  <si>
    <t>EXH. SEF-19G page 3 of 5</t>
  </si>
  <si>
    <t>EXH. SEF-19G page 19 of 5</t>
  </si>
  <si>
    <t>EXH. SEF-19G page 5 of 5</t>
  </si>
  <si>
    <t>Exh. SEF-20G page 1 of 29</t>
  </si>
  <si>
    <t>Exh. SEF-20G page 2 of 29</t>
  </si>
  <si>
    <t>Exh. SEF-20G page 3 of 29</t>
  </si>
  <si>
    <t>Exh. SEF-20G page 4 of 29</t>
  </si>
  <si>
    <t>Exh. SEF-20G page 5 of 29</t>
  </si>
  <si>
    <t>Exh. SEF-20G page 20 of 29</t>
  </si>
  <si>
    <t>Exh. SEF-20G page 7 of 29</t>
  </si>
  <si>
    <t>Exh. SEF-20G page 8 of 29</t>
  </si>
  <si>
    <t>Exh. SEF-20G page 9 of 29</t>
  </si>
  <si>
    <t>Exh. SEF-20G page 10 of 29</t>
  </si>
  <si>
    <t>Exh. SEF-20G page 11 of 29</t>
  </si>
  <si>
    <t>Exh. SEF-20G page 12 of 29</t>
  </si>
  <si>
    <t>Exh. SEF-20G page 13 of 29</t>
  </si>
  <si>
    <t>Exh. SEF-20G page 14 of 29</t>
  </si>
  <si>
    <t>Exh. SEF-20G page 15 of 29</t>
  </si>
  <si>
    <t>Exh. SEF-20G page 17 of 29</t>
  </si>
  <si>
    <t>Exh. SEF-20G page 18 of 29</t>
  </si>
  <si>
    <t>Exh. SEF-20G page 19 of 29</t>
  </si>
  <si>
    <t>Exh. SEF-20G page 21 of 29</t>
  </si>
  <si>
    <t>Exh. SEF-20G page 22 of 29</t>
  </si>
  <si>
    <t>Exh. SEF-20G page 23 of 29</t>
  </si>
  <si>
    <t>Exh. SEF-20G page 24 of 29</t>
  </si>
  <si>
    <t>Exh. SEF-20G page 25 of 29</t>
  </si>
  <si>
    <t>Exh. SEF-20G page 220 of 29</t>
  </si>
  <si>
    <t>Exh. SEF-20G page 27 of 29</t>
  </si>
  <si>
    <t>Exh. SEF-20G page 28 of 29</t>
  </si>
  <si>
    <t>Exh. SEF-20G page 29 of 29</t>
  </si>
  <si>
    <t>Update MRM Tax File for Attrition</t>
  </si>
  <si>
    <t>Exh. SEF-20G page 16 of 29</t>
  </si>
  <si>
    <t>SUPPLEMENTAL</t>
  </si>
  <si>
    <t>CHANGE</t>
  </si>
  <si>
    <t>Change from Supp</t>
  </si>
  <si>
    <t>Update COC Equity % from 9.8% to 9.7%</t>
  </si>
  <si>
    <t>Prior Rev Req</t>
  </si>
  <si>
    <t>Update COC Equity % from 9.8% to 9.7%; Changes in Gas Rev</t>
  </si>
  <si>
    <t>Fix Gas Model for PTNOI from MRM</t>
  </si>
  <si>
    <t>This is a result of JAP 04 gas normalization update in COS wkpprs</t>
  </si>
  <si>
    <t>Diff in Rev Growth factor impacted from COS gas temp norm</t>
  </si>
  <si>
    <t>PTNOI MRM File opened</t>
  </si>
  <si>
    <t>Change Oth Op Exp growth to 0%</t>
  </si>
  <si>
    <t>Not used</t>
  </si>
  <si>
    <t>MRM Tax update</t>
  </si>
  <si>
    <t>Rate Year Revenue &amp; Costs</t>
  </si>
  <si>
    <t>PRE COC and GAS Update</t>
  </si>
  <si>
    <t>Diff</t>
  </si>
  <si>
    <t>k = ∑ g thru j</t>
  </si>
  <si>
    <t>GAS ATTRITION</t>
  </si>
  <si>
    <t>LINE NO.</t>
  </si>
  <si>
    <t>Operating Revenues:</t>
  </si>
  <si>
    <t>Sales to Customers</t>
  </si>
  <si>
    <t>Municipal Additions</t>
  </si>
  <si>
    <t>Other Operating Revenues</t>
  </si>
  <si>
    <t>Total Operating Revenues</t>
  </si>
  <si>
    <t>Operating Revenue Deductions:</t>
  </si>
  <si>
    <t>Gas Costs:</t>
  </si>
  <si>
    <t xml:space="preserve"> Purchased Gas</t>
  </si>
  <si>
    <t>Total Production Expenses</t>
  </si>
  <si>
    <t>Other Power Supply Expenses</t>
  </si>
  <si>
    <t>Transmission Expense</t>
  </si>
  <si>
    <t>Distribution Expense</t>
  </si>
  <si>
    <t>Customer Account Expenses</t>
  </si>
  <si>
    <t>Customer Service Expenses</t>
  </si>
  <si>
    <t>Conservation Amortization</t>
  </si>
  <si>
    <t>Admin &amp; General Expense</t>
  </si>
  <si>
    <t>Depreciation</t>
  </si>
  <si>
    <t>Amortization</t>
  </si>
  <si>
    <t>Amortization of Property Loss</t>
  </si>
  <si>
    <t>Other Operating Expenses</t>
  </si>
  <si>
    <t>Taxes Other Than F.I.T.</t>
  </si>
  <si>
    <t>Federal Income Taxes</t>
  </si>
  <si>
    <t>Deferred Income Taxes</t>
  </si>
  <si>
    <t>Total Operating Rev. Deduct.</t>
  </si>
  <si>
    <t>Net Operating Income</t>
  </si>
  <si>
    <t>ptnoi</t>
  </si>
  <si>
    <t xml:space="preserve">Rate Base </t>
  </si>
  <si>
    <t>Rate Base: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</si>
  <si>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</si>
  <si>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</si>
  <si>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</si>
  <si>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Depreciation and Other Liabilities</t>
  </si>
  <si>
    <t>Total Net Investment</t>
  </si>
  <si>
    <t xml:space="preserve">  Allowance for Working Capital</t>
  </si>
  <si>
    <t>Total Rate Base</t>
  </si>
  <si>
    <t>check</t>
  </si>
  <si>
    <t>Gross Plant</t>
  </si>
  <si>
    <t>Production</t>
  </si>
  <si>
    <t>Transmission</t>
  </si>
  <si>
    <t>Distribution</t>
  </si>
  <si>
    <t>Intangible Plant</t>
  </si>
  <si>
    <t>General Plant</t>
  </si>
  <si>
    <t>Total</t>
  </si>
  <si>
    <t>Accumulated Depreciation</t>
  </si>
  <si>
    <t>ADIT (w/o Bonus)</t>
  </si>
  <si>
    <t>Bonus ADIT</t>
  </si>
  <si>
    <t>Total ADIT</t>
  </si>
  <si>
    <t>Net Plant After ADIT</t>
  </si>
  <si>
    <t>Non Plant ADIT</t>
  </si>
  <si>
    <t>Depreciation and Other Liabilities</t>
  </si>
  <si>
    <t>Allowance for Working Capital</t>
  </si>
  <si>
    <t>Total Ratebase</t>
  </si>
  <si>
    <t>Proposed Rate of Return</t>
  </si>
  <si>
    <t>Return on Plant in Service at Proposed Rate</t>
  </si>
  <si>
    <t>Operating Income Deficiency</t>
  </si>
  <si>
    <t>Revenue Conversion Factor</t>
  </si>
  <si>
    <t>Revenue Requirement</t>
  </si>
  <si>
    <t>Revenue Growth Factor</t>
  </si>
  <si>
    <t>Attrition Adjusted Revenue Requirement</t>
  </si>
  <si>
    <t>&lt;==pre Revenue JAP 19 update</t>
  </si>
  <si>
    <t>COC and JAP 19 update</t>
  </si>
  <si>
    <t xml:space="preserve">  Row inadvertently grouped - do not remove for purposes of maintaininig links</t>
  </si>
  <si>
    <t xml:space="preserve">Remove Green Direct from Rate Base as a restating </t>
  </si>
  <si>
    <t xml:space="preserve">COS update fr JAP 04 to JAP 19 impacting revenue and expense </t>
  </si>
  <si>
    <t>POST REBUTTAL==============================================================================&gt;</t>
  </si>
  <si>
    <t>Temperature Norm using Staff's method</t>
  </si>
  <si>
    <t>1.22.20</t>
  </si>
  <si>
    <t>ROE from 9.7% to 9.5%</t>
  </si>
  <si>
    <t>Changed AMA back to EOP for WC/RB as filed in Orig. Filing</t>
  </si>
  <si>
    <t>2.20.20</t>
  </si>
  <si>
    <t>Update cost of short term debt to 2.19.20 (Tax Benefit of Interest Impacted!)</t>
  </si>
  <si>
    <t xml:space="preserve">Update cost of short term debt to 2.19.20 </t>
  </si>
  <si>
    <t>2.21.20</t>
  </si>
  <si>
    <t>GTZ update through Dec 2019</t>
  </si>
  <si>
    <t>New Debt</t>
  </si>
  <si>
    <t>New ROR</t>
  </si>
  <si>
    <t>AMI update through Dec 2019</t>
  </si>
  <si>
    <t>Public Improvement update through Dec 2019</t>
  </si>
  <si>
    <t>HR Tops update through Dec 2019</t>
  </si>
  <si>
    <t>2.26.20</t>
  </si>
  <si>
    <t>Rebuttal Fling</t>
  </si>
  <si>
    <t>Change</t>
  </si>
  <si>
    <t>Restatement for Temp Norm impact on Attrition Base</t>
  </si>
  <si>
    <t>&lt;==BR#1</t>
  </si>
  <si>
    <t>&lt;== BR#1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</si>
</sst>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000000%"/>
    <numFmt numFmtId="173" formatCode="0.0%"/>
    <numFmt numFmtId="174" formatCode="0.0000000"/>
    <numFmt numFmtId="175" formatCode="&quot;PAGE&quot;\ 0.00\ &quot;ER&quot;"/>
    <numFmt numFmtId="176" formatCode="0.000000%"/>
    <numFmt numFmtId="177" formatCode="0.00000%"/>
    <numFmt numFmtId="178" formatCode="0.00000"/>
    <numFmt numFmtId="179" formatCode="0.00\ &quot;GR&quot;"/>
    <numFmt numFmtId="180" formatCode="0.00\ &quot;GP&quot;"/>
    <numFmt numFmtId="181" formatCode="#,##0.000;\(#,##0.000\)"/>
    <numFmt numFmtId="182" formatCode="0.000000_);[Red]\(0.000000\)"/>
    <numFmt numFmtId="183" formatCode="_(* #,##0.000000_);_(* \(#,##0.000000\);_(* &quot;-&quot;??_);_(@_)"/>
    <numFmt numFmtId="184" formatCode="&quot;ADJ&quot;\ 0.00\ &quot;GR&quot;"/>
    <numFmt numFmtId="185" formatCode="&quot;ADJ&quot;\ 0.00\ &quot;ER&quot;"/>
    <numFmt numFmtId="186" formatCode="&quot;ADJ&quot;\ 0.00\ &quot;GP&quot;"/>
    <numFmt numFmtId="187" formatCode="_(* #,##0.000000_);_(* \(#,##0.000000\);_(* &quot;-&quot;??????_);_(@_)"/>
    <numFmt numFmtId="188" formatCode="_(&quot;$&quot;* #,##0.000_);_(&quot;$&quot;* \(#,##0.000\);_(&quot;$&quot;* &quot;-&quot;??_);_(@_)"/>
    <numFmt numFmtId="189" formatCode="0.0000"/>
    <numFmt numFmtId="190" formatCode="_(&quot;$&quot;* #,##0.0000000_);_(&quot;$&quot;* \(#,##0.0000000\);_(&quot;$&quot;* &quot;-&quot;_);_(@_)"/>
    <numFmt numFmtId="191" formatCode="_(&quot;$&quot;* #,##0.0000_);_(&quot;$&quot;* \(#,##0.0000\);_(&quot;$&quot;* &quot;-&quot;??_);_(@_)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8"/>
      <name val="Helv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7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1"/>
      <color rgb="FF0099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99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8000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color rgb="FF6600FF"/>
      <name val="Calibri"/>
      <family val="2"/>
      <scheme val="minor"/>
    </font>
    <font>
      <sz val="11"/>
      <color rgb="FF6600FF"/>
      <name val="Calibri"/>
      <family val="2"/>
      <scheme val="minor"/>
    </font>
    <font>
      <b/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"/>
      <name val="Calibri"/>
      <family val="2"/>
      <scheme val="minor"/>
    </font>
    <font>
      <u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b/>
      <i/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CC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165" fontId="6" fillId="0" borderId="0">
      <alignment horizontal="left" wrapText="1"/>
    </xf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80">
    <xf numFmtId="0" fontId="0" fillId="0" borderId="0" xfId="0"/>
    <xf numFmtId="41" fontId="1" fillId="0" borderId="0" xfId="0" applyNumberFormat="1" applyFont="1" applyFill="1"/>
    <xf numFmtId="0" fontId="3" fillId="0" borderId="0" xfId="0" applyFont="1" applyFill="1" applyAlignment="1">
      <alignment horizontal="centerContinuous"/>
    </xf>
    <xf numFmtId="0" fontId="1" fillId="0" borderId="0" xfId="0" applyFont="1" applyFill="1"/>
    <xf numFmtId="169" fontId="1" fillId="0" borderId="0" xfId="0" applyNumberFormat="1" applyFont="1" applyFill="1"/>
    <xf numFmtId="0" fontId="1" fillId="0" borderId="0" xfId="0" applyFont="1" applyFill="1" applyBorder="1"/>
    <xf numFmtId="9" fontId="1" fillId="0" borderId="0" xfId="0" applyNumberFormat="1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8" fontId="5" fillId="0" borderId="7" xfId="0" applyNumberFormat="1" applyFont="1" applyFill="1" applyBorder="1"/>
    <xf numFmtId="42" fontId="5" fillId="0" borderId="0" xfId="0" applyNumberFormat="1" applyFont="1" applyFill="1"/>
    <xf numFmtId="168" fontId="5" fillId="0" borderId="0" xfId="0" applyNumberFormat="1" applyFont="1" applyFill="1"/>
    <xf numFmtId="169" fontId="5" fillId="0" borderId="7" xfId="0" applyNumberFormat="1" applyFont="1" applyFill="1" applyBorder="1"/>
    <xf numFmtId="0" fontId="5" fillId="0" borderId="7" xfId="0" applyFont="1" applyFill="1" applyBorder="1"/>
    <xf numFmtId="166" fontId="5" fillId="0" borderId="2" xfId="0" applyNumberFormat="1" applyFont="1" applyFill="1" applyBorder="1"/>
    <xf numFmtId="42" fontId="5" fillId="0" borderId="2" xfId="0" applyNumberFormat="1" applyFont="1" applyFill="1" applyBorder="1"/>
    <xf numFmtId="0" fontId="5" fillId="0" borderId="11" xfId="0" applyFont="1" applyFill="1" applyBorder="1"/>
    <xf numFmtId="0" fontId="5" fillId="0" borderId="0" xfId="0" applyFont="1" applyFill="1" applyBorder="1"/>
    <xf numFmtId="169" fontId="5" fillId="0" borderId="26" xfId="0" applyNumberFormat="1" applyFont="1" applyFill="1" applyBorder="1"/>
    <xf numFmtId="41" fontId="5" fillId="0" borderId="0" xfId="0" applyNumberFormat="1" applyFont="1" applyFill="1"/>
    <xf numFmtId="0" fontId="5" fillId="0" borderId="26" xfId="0" applyFont="1" applyFill="1" applyBorder="1"/>
    <xf numFmtId="9" fontId="5" fillId="0" borderId="7" xfId="0" applyNumberFormat="1" applyFont="1" applyFill="1" applyBorder="1"/>
    <xf numFmtId="43" fontId="5" fillId="0" borderId="0" xfId="0" applyNumberFormat="1" applyFont="1" applyFill="1"/>
    <xf numFmtId="10" fontId="5" fillId="0" borderId="0" xfId="0" applyNumberFormat="1" applyFont="1" applyFill="1"/>
    <xf numFmtId="0" fontId="5" fillId="0" borderId="0" xfId="0" applyNumberFormat="1" applyFont="1" applyFill="1" applyAlignment="1"/>
    <xf numFmtId="165" fontId="5" fillId="0" borderId="0" xfId="0" applyNumberFormat="1" applyFont="1" applyFill="1" applyAlignment="1"/>
    <xf numFmtId="0" fontId="4" fillId="0" borderId="27" xfId="0" applyFont="1" applyFill="1" applyBorder="1" applyAlignment="1">
      <alignment horizontal="center"/>
    </xf>
    <xf numFmtId="0" fontId="5" fillId="0" borderId="0" xfId="0" applyFont="1" applyFill="1" applyAlignment="1"/>
    <xf numFmtId="168" fontId="5" fillId="0" borderId="8" xfId="0" applyNumberFormat="1" applyFont="1" applyFill="1" applyBorder="1"/>
    <xf numFmtId="187" fontId="5" fillId="0" borderId="27" xfId="0" applyNumberFormat="1" applyFont="1" applyFill="1" applyBorder="1"/>
    <xf numFmtId="41" fontId="5" fillId="0" borderId="26" xfId="0" applyNumberFormat="1" applyFont="1" applyFill="1" applyBorder="1"/>
    <xf numFmtId="10" fontId="5" fillId="0" borderId="0" xfId="0" applyNumberFormat="1" applyFont="1" applyFill="1" applyAlignment="1">
      <alignment horizontal="center"/>
    </xf>
    <xf numFmtId="0" fontId="4" fillId="0" borderId="0" xfId="0" applyFont="1" applyFill="1"/>
    <xf numFmtId="0" fontId="4" fillId="0" borderId="28" xfId="0" applyFont="1" applyFill="1" applyBorder="1" applyAlignment="1">
      <alignment horizontal="centerContinuous"/>
    </xf>
    <xf numFmtId="0" fontId="4" fillId="0" borderId="17" xfId="0" applyFont="1" applyFill="1" applyBorder="1" applyAlignment="1">
      <alignment horizontal="centerContinuous"/>
    </xf>
    <xf numFmtId="0" fontId="5" fillId="0" borderId="23" xfId="0" applyFont="1" applyFill="1" applyBorder="1" applyAlignment="1">
      <alignment horizontal="center"/>
    </xf>
    <xf numFmtId="0" fontId="5" fillId="0" borderId="23" xfId="0" applyFont="1" applyFill="1" applyBorder="1"/>
    <xf numFmtId="42" fontId="5" fillId="0" borderId="23" xfId="0" applyNumberFormat="1" applyFont="1" applyFill="1" applyBorder="1"/>
    <xf numFmtId="168" fontId="5" fillId="0" borderId="22" xfId="0" applyNumberFormat="1" applyFont="1" applyFill="1" applyBorder="1"/>
    <xf numFmtId="166" fontId="5" fillId="0" borderId="0" xfId="0" applyNumberFormat="1" applyFont="1" applyFill="1" applyBorder="1"/>
    <xf numFmtId="169" fontId="5" fillId="0" borderId="22" xfId="0" applyNumberFormat="1" applyFont="1" applyFill="1" applyBorder="1"/>
    <xf numFmtId="0" fontId="5" fillId="0" borderId="22" xfId="0" applyFont="1" applyFill="1" applyBorder="1"/>
    <xf numFmtId="166" fontId="5" fillId="0" borderId="0" xfId="0" applyNumberFormat="1" applyFont="1" applyFill="1"/>
    <xf numFmtId="168" fontId="5" fillId="0" borderId="24" xfId="0" applyNumberFormat="1" applyFont="1" applyFill="1" applyBorder="1"/>
    <xf numFmtId="3" fontId="1" fillId="0" borderId="0" xfId="0" applyNumberFormat="1" applyFont="1" applyFill="1"/>
    <xf numFmtId="37" fontId="1" fillId="0" borderId="0" xfId="0" applyNumberFormat="1" applyFont="1" applyFill="1"/>
    <xf numFmtId="183" fontId="1" fillId="0" borderId="0" xfId="0" applyNumberFormat="1" applyFont="1" applyFill="1"/>
    <xf numFmtId="169" fontId="1" fillId="0" borderId="27" xfId="0" applyNumberFormat="1" applyFont="1" applyFill="1" applyBorder="1"/>
    <xf numFmtId="42" fontId="1" fillId="0" borderId="0" xfId="0" applyNumberFormat="1" applyFont="1" applyFill="1"/>
    <xf numFmtId="168" fontId="1" fillId="0" borderId="0" xfId="0" applyNumberFormat="1" applyFont="1" applyFill="1"/>
    <xf numFmtId="168" fontId="5" fillId="0" borderId="26" xfId="0" applyNumberFormat="1" applyFont="1" applyFill="1" applyBorder="1"/>
    <xf numFmtId="42" fontId="5" fillId="0" borderId="4" xfId="0" applyNumberFormat="1" applyFont="1" applyFill="1" applyBorder="1"/>
    <xf numFmtId="10" fontId="0" fillId="0" borderId="0" xfId="0" applyNumberFormat="1"/>
    <xf numFmtId="1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89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169" fontId="0" fillId="0" borderId="0" xfId="4" applyNumberFormat="1" applyFont="1"/>
    <xf numFmtId="44" fontId="0" fillId="0" borderId="0" xfId="4" applyNumberFormat="1" applyFont="1"/>
    <xf numFmtId="168" fontId="0" fillId="0" borderId="0" xfId="3" applyNumberFormat="1" applyFont="1"/>
    <xf numFmtId="0" fontId="0" fillId="0" borderId="0" xfId="0" applyFont="1" applyAlignment="1"/>
    <xf numFmtId="169" fontId="0" fillId="0" borderId="26" xfId="0" applyNumberFormat="1" applyFont="1" applyBorder="1" applyAlignment="1">
      <alignment horizontal="center"/>
    </xf>
    <xf numFmtId="41" fontId="0" fillId="0" borderId="0" xfId="0" applyNumberFormat="1"/>
    <xf numFmtId="0" fontId="8" fillId="0" borderId="0" xfId="0" applyFont="1" applyAlignment="1"/>
    <xf numFmtId="169" fontId="8" fillId="0" borderId="8" xfId="0" applyNumberFormat="1" applyFont="1" applyBorder="1" applyAlignment="1">
      <alignment horizontal="center"/>
    </xf>
    <xf numFmtId="169" fontId="0" fillId="2" borderId="0" xfId="4" applyNumberFormat="1" applyFont="1" applyFill="1"/>
    <xf numFmtId="168" fontId="0" fillId="2" borderId="0" xfId="3" applyNumberFormat="1" applyFont="1" applyFill="1"/>
    <xf numFmtId="0" fontId="9" fillId="0" borderId="0" xfId="0" applyNumberFormat="1" applyFont="1" applyFill="1" applyAlignment="1">
      <alignment vertical="top"/>
    </xf>
    <xf numFmtId="168" fontId="0" fillId="0" borderId="0" xfId="0" applyNumberFormat="1" applyBorder="1"/>
    <xf numFmtId="0" fontId="0" fillId="0" borderId="0" xfId="0" applyBorder="1"/>
    <xf numFmtId="168" fontId="0" fillId="0" borderId="0" xfId="0" applyNumberFormat="1" applyBorder="1" applyAlignment="1">
      <alignment vertical="top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right" indent="1"/>
    </xf>
    <xf numFmtId="0" fontId="0" fillId="0" borderId="26" xfId="0" applyBorder="1"/>
    <xf numFmtId="168" fontId="0" fillId="3" borderId="0" xfId="0" applyNumberFormat="1" applyFont="1" applyFill="1"/>
    <xf numFmtId="168" fontId="0" fillId="0" borderId="0" xfId="0" applyNumberFormat="1" applyFont="1"/>
    <xf numFmtId="168" fontId="0" fillId="0" borderId="26" xfId="0" applyNumberFormat="1" applyFont="1" applyBorder="1"/>
    <xf numFmtId="0" fontId="0" fillId="0" borderId="26" xfId="0" applyBorder="1" applyAlignment="1">
      <alignment horizontal="center"/>
    </xf>
    <xf numFmtId="0" fontId="9" fillId="0" borderId="26" xfId="0" applyNumberFormat="1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Fill="1"/>
    <xf numFmtId="14" fontId="0" fillId="0" borderId="0" xfId="0" applyNumberFormat="1"/>
    <xf numFmtId="168" fontId="0" fillId="0" borderId="0" xfId="0" applyNumberFormat="1"/>
    <xf numFmtId="0" fontId="7" fillId="0" borderId="0" xfId="0" applyFont="1"/>
    <xf numFmtId="3" fontId="9" fillId="0" borderId="27" xfId="0" applyNumberFormat="1" applyFont="1" applyFill="1" applyBorder="1" applyAlignment="1">
      <alignment horizontal="center" vertical="center" wrapText="1"/>
    </xf>
    <xf numFmtId="3" fontId="12" fillId="0" borderId="27" xfId="0" applyNumberFormat="1" applyFont="1" applyFill="1" applyBorder="1" applyAlignment="1">
      <alignment horizontal="center" vertical="center" wrapText="1"/>
    </xf>
    <xf numFmtId="168" fontId="9" fillId="0" borderId="27" xfId="0" applyNumberFormat="1" applyFont="1" applyFill="1" applyBorder="1" applyAlignment="1">
      <alignment horizontal="center" vertical="center" wrapText="1"/>
    </xf>
    <xf numFmtId="0" fontId="9" fillId="0" borderId="27" xfId="0" applyNumberFormat="1" applyFont="1" applyFill="1" applyBorder="1" applyAlignment="1">
      <alignment horizontal="center" vertical="center" wrapText="1"/>
    </xf>
    <xf numFmtId="0" fontId="12" fillId="0" borderId="27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center"/>
    </xf>
    <xf numFmtId="0" fontId="8" fillId="0" borderId="0" xfId="0" applyFont="1"/>
    <xf numFmtId="3" fontId="9" fillId="0" borderId="0" xfId="0" applyNumberFormat="1" applyFont="1" applyFill="1" applyAlignment="1"/>
    <xf numFmtId="3" fontId="9" fillId="0" borderId="6" xfId="0" applyNumberFormat="1" applyFont="1" applyFill="1" applyBorder="1" applyAlignment="1"/>
    <xf numFmtId="10" fontId="0" fillId="0" borderId="0" xfId="5" applyNumberFormat="1" applyFont="1"/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168" fontId="0" fillId="0" borderId="0" xfId="3" applyNumberFormat="1" applyFont="1" applyAlignment="1">
      <alignment horizontal="center"/>
    </xf>
    <xf numFmtId="43" fontId="0" fillId="0" borderId="0" xfId="0" applyNumberFormat="1"/>
    <xf numFmtId="41" fontId="0" fillId="4" borderId="0" xfId="0" applyNumberFormat="1" applyFill="1"/>
    <xf numFmtId="0" fontId="15" fillId="0" borderId="0" xfId="0" applyFont="1"/>
    <xf numFmtId="0" fontId="14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168" fontId="8" fillId="5" borderId="0" xfId="0" applyNumberFormat="1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4" fillId="5" borderId="0" xfId="0" applyFont="1" applyFill="1"/>
    <xf numFmtId="168" fontId="0" fillId="5" borderId="0" xfId="3" applyNumberFormat="1" applyFont="1" applyFill="1"/>
    <xf numFmtId="168" fontId="0" fillId="5" borderId="0" xfId="3" applyNumberFormat="1" applyFont="1" applyFill="1" applyAlignment="1">
      <alignment horizontal="center"/>
    </xf>
    <xf numFmtId="169" fontId="0" fillId="5" borderId="0" xfId="4" applyNumberFormat="1" applyFont="1" applyFill="1"/>
    <xf numFmtId="0" fontId="7" fillId="0" borderId="0" xfId="0" applyFont="1" applyAlignment="1">
      <alignment horizontal="center"/>
    </xf>
    <xf numFmtId="168" fontId="7" fillId="0" borderId="0" xfId="3" applyNumberFormat="1" applyFont="1"/>
    <xf numFmtId="168" fontId="7" fillId="2" borderId="0" xfId="3" applyNumberFormat="1" applyFont="1" applyFill="1"/>
    <xf numFmtId="42" fontId="14" fillId="5" borderId="0" xfId="0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169" fontId="7" fillId="0" borderId="0" xfId="4" applyNumberFormat="1" applyFont="1" applyBorder="1"/>
    <xf numFmtId="0" fontId="7" fillId="0" borderId="0" xfId="0" applyFont="1" applyAlignment="1">
      <alignment horizontal="left" indent="1"/>
    </xf>
    <xf numFmtId="169" fontId="7" fillId="0" borderId="8" xfId="4" applyNumberFormat="1" applyFont="1" applyBorder="1"/>
    <xf numFmtId="168" fontId="0" fillId="6" borderId="0" xfId="0" applyNumberFormat="1" applyFont="1" applyFill="1"/>
    <xf numFmtId="0" fontId="7" fillId="7" borderId="0" xfId="0" applyFont="1" applyFill="1" applyAlignment="1">
      <alignment horizontal="center"/>
    </xf>
    <xf numFmtId="168" fontId="7" fillId="7" borderId="0" xfId="3" applyNumberFormat="1" applyFont="1" applyFill="1"/>
    <xf numFmtId="0" fontId="16" fillId="7" borderId="0" xfId="0" applyFont="1" applyFill="1"/>
    <xf numFmtId="0" fontId="0" fillId="7" borderId="0" xfId="0" applyFill="1" applyAlignment="1">
      <alignment horizontal="center" vertical="top"/>
    </xf>
    <xf numFmtId="14" fontId="0" fillId="7" borderId="0" xfId="0" applyNumberFormat="1" applyFill="1" applyAlignment="1">
      <alignment vertical="top"/>
    </xf>
    <xf numFmtId="168" fontId="0" fillId="7" borderId="0" xfId="0" applyNumberFormat="1" applyFont="1" applyFill="1"/>
    <xf numFmtId="0" fontId="0" fillId="7" borderId="0" xfId="0" applyFill="1"/>
    <xf numFmtId="168" fontId="0" fillId="7" borderId="0" xfId="0" applyNumberFormat="1" applyFill="1"/>
    <xf numFmtId="0" fontId="17" fillId="0" borderId="0" xfId="0" applyFont="1" applyFill="1"/>
    <xf numFmtId="0" fontId="17" fillId="0" borderId="0" xfId="0" applyFont="1" applyAlignment="1">
      <alignment horizontal="center"/>
    </xf>
    <xf numFmtId="14" fontId="17" fillId="0" borderId="0" xfId="0" applyNumberFormat="1" applyFont="1"/>
    <xf numFmtId="168" fontId="17" fillId="0" borderId="0" xfId="0" applyNumberFormat="1" applyFont="1"/>
    <xf numFmtId="0" fontId="17" fillId="0" borderId="0" xfId="0" applyFont="1"/>
    <xf numFmtId="42" fontId="19" fillId="5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168" fontId="19" fillId="5" borderId="0" xfId="0" applyNumberFormat="1" applyFont="1" applyFill="1" applyAlignment="1">
      <alignment horizontal="center"/>
    </xf>
    <xf numFmtId="169" fontId="11" fillId="0" borderId="0" xfId="4" applyNumberFormat="1" applyFont="1"/>
    <xf numFmtId="168" fontId="11" fillId="0" borderId="0" xfId="3" applyNumberFormat="1" applyFont="1"/>
    <xf numFmtId="168" fontId="11" fillId="7" borderId="0" xfId="3" applyNumberFormat="1" applyFont="1" applyFill="1"/>
    <xf numFmtId="42" fontId="7" fillId="0" borderId="0" xfId="0" applyNumberFormat="1" applyFont="1"/>
    <xf numFmtId="0" fontId="18" fillId="0" borderId="0" xfId="0" applyFont="1" applyFill="1"/>
    <xf numFmtId="10" fontId="18" fillId="8" borderId="6" xfId="0" applyNumberFormat="1" applyFont="1" applyFill="1" applyBorder="1"/>
    <xf numFmtId="0" fontId="17" fillId="0" borderId="0" xfId="0" applyFont="1" applyAlignment="1">
      <alignment horizontal="left" vertical="top" wrapText="1"/>
    </xf>
    <xf numFmtId="168" fontId="17" fillId="0" borderId="0" xfId="3" applyNumberFormat="1" applyFont="1"/>
    <xf numFmtId="168" fontId="17" fillId="2" borderId="0" xfId="3" applyNumberFormat="1" applyFont="1" applyFill="1"/>
    <xf numFmtId="43" fontId="17" fillId="0" borderId="0" xfId="3" applyNumberFormat="1" applyFont="1" applyFill="1"/>
    <xf numFmtId="169" fontId="17" fillId="0" borderId="0" xfId="4" applyNumberFormat="1" applyFont="1" applyFill="1"/>
    <xf numFmtId="168" fontId="17" fillId="0" borderId="0" xfId="3" applyNumberFormat="1" applyFont="1" applyFill="1"/>
    <xf numFmtId="0" fontId="17" fillId="0" borderId="0" xfId="0" applyFont="1" applyAlignment="1"/>
    <xf numFmtId="0" fontId="11" fillId="0" borderId="0" xfId="0" applyFont="1" applyAlignment="1"/>
    <xf numFmtId="0" fontId="20" fillId="0" borderId="0" xfId="0" applyFont="1" applyAlignment="1"/>
    <xf numFmtId="0" fontId="21" fillId="0" borderId="0" xfId="0" applyFont="1"/>
    <xf numFmtId="42" fontId="22" fillId="0" borderId="0" xfId="0" applyNumberFormat="1" applyFont="1"/>
    <xf numFmtId="0" fontId="22" fillId="0" borderId="0" xfId="0" applyFont="1"/>
    <xf numFmtId="190" fontId="22" fillId="0" borderId="0" xfId="0" applyNumberFormat="1" applyFont="1"/>
    <xf numFmtId="44" fontId="22" fillId="0" borderId="8" xfId="0" applyNumberFormat="1" applyFont="1" applyBorder="1"/>
    <xf numFmtId="0" fontId="23" fillId="0" borderId="0" xfId="0" applyFont="1"/>
    <xf numFmtId="168" fontId="23" fillId="0" borderId="0" xfId="3" applyNumberFormat="1" applyFont="1"/>
    <xf numFmtId="0" fontId="0" fillId="0" borderId="0" xfId="0" applyFont="1" applyFill="1"/>
    <xf numFmtId="0" fontId="18" fillId="0" borderId="0" xfId="0" applyFont="1" applyAlignment="1">
      <alignment horizontal="center"/>
    </xf>
    <xf numFmtId="0" fontId="16" fillId="9" borderId="0" xfId="0" applyFont="1" applyFill="1"/>
    <xf numFmtId="0" fontId="7" fillId="9" borderId="0" xfId="0" applyFont="1" applyFill="1" applyAlignment="1">
      <alignment horizontal="center"/>
    </xf>
    <xf numFmtId="168" fontId="7" fillId="9" borderId="0" xfId="3" applyNumberFormat="1" applyFont="1" applyFill="1"/>
    <xf numFmtId="168" fontId="0" fillId="9" borderId="0" xfId="0" applyNumberFormat="1" applyFont="1" applyFill="1"/>
    <xf numFmtId="0" fontId="0" fillId="9" borderId="0" xfId="0" applyFill="1"/>
    <xf numFmtId="168" fontId="0" fillId="9" borderId="0" xfId="0" applyNumberFormat="1" applyFill="1"/>
    <xf numFmtId="0" fontId="24" fillId="0" borderId="0" xfId="0" applyFont="1" applyFill="1"/>
    <xf numFmtId="0" fontId="24" fillId="0" borderId="0" xfId="0" applyFont="1" applyAlignment="1">
      <alignment horizontal="center" vertical="top"/>
    </xf>
    <xf numFmtId="14" fontId="24" fillId="0" borderId="0" xfId="0" applyNumberFormat="1" applyFont="1" applyAlignment="1">
      <alignment vertical="top"/>
    </xf>
    <xf numFmtId="168" fontId="24" fillId="0" borderId="0" xfId="0" applyNumberFormat="1" applyFont="1"/>
    <xf numFmtId="0" fontId="24" fillId="0" borderId="0" xfId="0" applyFont="1"/>
    <xf numFmtId="14" fontId="25" fillId="0" borderId="0" xfId="0" applyNumberFormat="1" applyFont="1"/>
    <xf numFmtId="10" fontId="24" fillId="8" borderId="6" xfId="0" applyNumberFormat="1" applyFont="1" applyFill="1" applyBorder="1"/>
    <xf numFmtId="10" fontId="24" fillId="0" borderId="0" xfId="0" applyNumberFormat="1" applyFont="1" applyFill="1" applyBorder="1"/>
    <xf numFmtId="14" fontId="25" fillId="0" borderId="0" xfId="0" applyNumberFormat="1" applyFont="1" applyAlignment="1">
      <alignment vertical="top"/>
    </xf>
    <xf numFmtId="0" fontId="25" fillId="0" borderId="0" xfId="0" applyFont="1" applyAlignment="1">
      <alignment vertical="top"/>
    </xf>
    <xf numFmtId="168" fontId="25" fillId="0" borderId="0" xfId="0" applyNumberFormat="1" applyFont="1" applyAlignment="1">
      <alignment vertical="top"/>
    </xf>
    <xf numFmtId="168" fontId="25" fillId="0" borderId="0" xfId="0" applyNumberFormat="1" applyFont="1"/>
    <xf numFmtId="0" fontId="24" fillId="0" borderId="0" xfId="0" applyFont="1" applyAlignment="1">
      <alignment horizontal="center"/>
    </xf>
    <xf numFmtId="168" fontId="24" fillId="0" borderId="0" xfId="3" applyNumberFormat="1" applyFont="1"/>
    <xf numFmtId="168" fontId="24" fillId="2" borderId="0" xfId="3" applyNumberFormat="1" applyFont="1" applyFill="1"/>
    <xf numFmtId="10" fontId="0" fillId="10" borderId="0" xfId="0" applyNumberFormat="1" applyFill="1"/>
    <xf numFmtId="0" fontId="24" fillId="0" borderId="0" xfId="0" applyFont="1" applyAlignment="1"/>
    <xf numFmtId="14" fontId="24" fillId="0" borderId="0" xfId="0" applyNumberFormat="1" applyFont="1"/>
    <xf numFmtId="42" fontId="0" fillId="0" borderId="0" xfId="0" applyNumberFormat="1"/>
    <xf numFmtId="0" fontId="4" fillId="0" borderId="9" xfId="0" applyFont="1" applyFill="1" applyBorder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27" xfId="0" applyFont="1" applyFill="1" applyBorder="1"/>
    <xf numFmtId="0" fontId="3" fillId="0" borderId="27" xfId="0" applyFont="1" applyFill="1" applyBorder="1" applyAlignment="1">
      <alignment horizontal="center"/>
    </xf>
    <xf numFmtId="10" fontId="5" fillId="0" borderId="7" xfId="0" applyNumberFormat="1" applyFont="1" applyFill="1" applyBorder="1"/>
    <xf numFmtId="0" fontId="1" fillId="0" borderId="26" xfId="0" applyFont="1" applyFill="1" applyBorder="1"/>
    <xf numFmtId="0" fontId="5" fillId="0" borderId="0" xfId="0" applyFont="1" applyFill="1" applyAlignment="1">
      <alignment horizontal="left" indent="1"/>
    </xf>
    <xf numFmtId="188" fontId="5" fillId="0" borderId="0" xfId="0" applyNumberFormat="1" applyFont="1" applyFill="1"/>
    <xf numFmtId="0" fontId="8" fillId="0" borderId="0" xfId="0" applyFont="1" applyFill="1"/>
    <xf numFmtId="0" fontId="8" fillId="0" borderId="33" xfId="0" applyFont="1" applyFill="1" applyBorder="1" applyAlignment="1">
      <alignment horizontal="center" wrapText="1"/>
    </xf>
    <xf numFmtId="0" fontId="0" fillId="0" borderId="0" xfId="0" applyNumberFormat="1" applyFont="1" applyFill="1" applyAlignment="1"/>
    <xf numFmtId="41" fontId="0" fillId="0" borderId="0" xfId="0" applyNumberFormat="1" applyFont="1" applyFill="1"/>
    <xf numFmtId="42" fontId="0" fillId="0" borderId="0" xfId="0" applyNumberFormat="1" applyFont="1" applyFill="1" applyAlignment="1"/>
    <xf numFmtId="42" fontId="0" fillId="0" borderId="0" xfId="0" applyNumberFormat="1" applyFont="1" applyFill="1"/>
    <xf numFmtId="42" fontId="0" fillId="0" borderId="26" xfId="0" applyNumberFormat="1" applyFont="1" applyFill="1" applyBorder="1"/>
    <xf numFmtId="42" fontId="0" fillId="0" borderId="8" xfId="0" applyNumberFormat="1" applyFont="1" applyFill="1" applyBorder="1"/>
    <xf numFmtId="10" fontId="0" fillId="0" borderId="0" xfId="0" applyNumberFormat="1" applyFont="1" applyFill="1"/>
    <xf numFmtId="187" fontId="0" fillId="0" borderId="0" xfId="0" applyNumberFormat="1" applyFont="1" applyFill="1"/>
    <xf numFmtId="9" fontId="0" fillId="0" borderId="0" xfId="0" applyNumberFormat="1" applyFont="1" applyFill="1"/>
    <xf numFmtId="0" fontId="1" fillId="0" borderId="10" xfId="0" applyFont="1" applyFill="1" applyBorder="1"/>
    <xf numFmtId="0" fontId="1" fillId="0" borderId="18" xfId="0" applyFont="1" applyFill="1" applyBorder="1"/>
    <xf numFmtId="0" fontId="3" fillId="0" borderId="0" xfId="0" applyFont="1" applyFill="1"/>
    <xf numFmtId="42" fontId="1" fillId="0" borderId="4" xfId="0" applyNumberFormat="1" applyFont="1" applyFill="1" applyBorder="1"/>
    <xf numFmtId="0" fontId="5" fillId="0" borderId="10" xfId="0" applyFont="1" applyFill="1" applyBorder="1"/>
    <xf numFmtId="0" fontId="5" fillId="0" borderId="16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Continuous"/>
    </xf>
    <xf numFmtId="184" fontId="3" fillId="0" borderId="6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28" xfId="0" applyFont="1" applyFill="1" applyBorder="1" applyAlignment="1">
      <alignment horizontal="centerContinuous"/>
    </xf>
    <xf numFmtId="0" fontId="1" fillId="0" borderId="5" xfId="0" applyFont="1" applyFill="1" applyBorder="1" applyAlignment="1">
      <alignment horizontal="centerContinuous"/>
    </xf>
    <xf numFmtId="0" fontId="1" fillId="0" borderId="17" xfId="0" applyFont="1" applyFill="1" applyBorder="1" applyAlignment="1">
      <alignment horizontal="centerContinuous"/>
    </xf>
    <xf numFmtId="0" fontId="1" fillId="0" borderId="0" xfId="2" applyFont="1" applyFill="1"/>
    <xf numFmtId="41" fontId="1" fillId="0" borderId="0" xfId="0" applyNumberFormat="1" applyFont="1" applyFill="1" applyBorder="1"/>
    <xf numFmtId="42" fontId="1" fillId="0" borderId="0" xfId="0" applyNumberFormat="1" applyFont="1" applyFill="1" applyBorder="1"/>
    <xf numFmtId="41" fontId="5" fillId="0" borderId="0" xfId="0" applyNumberFormat="1" applyFont="1" applyFill="1" applyBorder="1"/>
    <xf numFmtId="41" fontId="1" fillId="0" borderId="26" xfId="0" applyNumberFormat="1" applyFont="1" applyFill="1" applyBorder="1"/>
    <xf numFmtId="41" fontId="1" fillId="0" borderId="27" xfId="0" applyNumberFormat="1" applyFont="1" applyFill="1" applyBorder="1"/>
    <xf numFmtId="41" fontId="1" fillId="0" borderId="5" xfId="0" applyNumberFormat="1" applyFont="1" applyFill="1" applyBorder="1"/>
    <xf numFmtId="41" fontId="1" fillId="0" borderId="1" xfId="0" applyNumberFormat="1" applyFont="1" applyFill="1" applyBorder="1"/>
    <xf numFmtId="42" fontId="1" fillId="0" borderId="8" xfId="0" applyNumberFormat="1" applyFont="1" applyFill="1" applyBorder="1"/>
    <xf numFmtId="9" fontId="5" fillId="0" borderId="0" xfId="0" applyNumberFormat="1" applyFont="1" applyFill="1"/>
    <xf numFmtId="41" fontId="1" fillId="0" borderId="27" xfId="0" applyNumberFormat="1" applyFont="1" applyFill="1" applyBorder="1" applyAlignment="1">
      <alignment horizontal="right"/>
    </xf>
    <xf numFmtId="41" fontId="5" fillId="0" borderId="27" xfId="0" applyNumberFormat="1" applyFont="1" applyFill="1" applyBorder="1"/>
    <xf numFmtId="9" fontId="1" fillId="0" borderId="0" xfId="0" applyNumberFormat="1" applyFont="1" applyFill="1" applyAlignment="1">
      <alignment horizontal="right"/>
    </xf>
    <xf numFmtId="10" fontId="1" fillId="0" borderId="0" xfId="0" applyNumberFormat="1" applyFont="1" applyFill="1"/>
    <xf numFmtId="168" fontId="1" fillId="0" borderId="20" xfId="0" applyNumberFormat="1" applyFont="1" applyFill="1" applyBorder="1"/>
    <xf numFmtId="9" fontId="1" fillId="0" borderId="0" xfId="0" applyNumberFormat="1" applyFont="1" applyFill="1"/>
    <xf numFmtId="0" fontId="5" fillId="0" borderId="14" xfId="0" applyFont="1" applyFill="1" applyBorder="1"/>
    <xf numFmtId="0" fontId="3" fillId="0" borderId="0" xfId="0" applyNumberFormat="1" applyFont="1" applyFill="1" applyAlignment="1">
      <alignment horizontal="center"/>
    </xf>
    <xf numFmtId="0" fontId="26" fillId="0" borderId="27" xfId="0" applyNumberFormat="1" applyFont="1" applyFill="1" applyBorder="1" applyAlignment="1">
      <alignment horizontal="center"/>
    </xf>
    <xf numFmtId="0" fontId="3" fillId="0" borderId="27" xfId="0" applyNumberFormat="1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0" xfId="0" applyFont="1" applyFill="1"/>
    <xf numFmtId="0" fontId="5" fillId="0" borderId="0" xfId="0" applyNumberFormat="1" applyFont="1" applyFill="1" applyAlignment="1">
      <alignment horizontal="center"/>
    </xf>
    <xf numFmtId="42" fontId="27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/>
    <xf numFmtId="42" fontId="26" fillId="0" borderId="0" xfId="0" applyNumberFormat="1" applyFont="1" applyFill="1"/>
    <xf numFmtId="10" fontId="27" fillId="0" borderId="0" xfId="0" applyNumberFormat="1" applyFont="1" applyFill="1"/>
    <xf numFmtId="171" fontId="5" fillId="0" borderId="0" xfId="0" applyNumberFormat="1" applyFont="1" applyFill="1" applyAlignment="1"/>
    <xf numFmtId="165" fontId="5" fillId="0" borderId="1" xfId="0" applyNumberFormat="1" applyFont="1" applyFill="1" applyBorder="1" applyAlignment="1"/>
    <xf numFmtId="0" fontId="27" fillId="0" borderId="26" xfId="0" applyFont="1" applyFill="1" applyBorder="1"/>
    <xf numFmtId="168" fontId="27" fillId="0" borderId="0" xfId="0" applyNumberFormat="1" applyFont="1" applyFill="1"/>
    <xf numFmtId="165" fontId="5" fillId="0" borderId="0" xfId="0" applyNumberFormat="1" applyFont="1" applyFill="1" applyBorder="1" applyAlignment="1"/>
    <xf numFmtId="42" fontId="26" fillId="0" borderId="4" xfId="0" applyNumberFormat="1" applyFont="1" applyFill="1" applyBorder="1"/>
    <xf numFmtId="168" fontId="27" fillId="0" borderId="26" xfId="0" applyNumberFormat="1" applyFont="1" applyFill="1" applyBorder="1"/>
    <xf numFmtId="9" fontId="5" fillId="0" borderId="0" xfId="0" applyNumberFormat="1" applyFont="1" applyFill="1" applyAlignment="1"/>
    <xf numFmtId="165" fontId="4" fillId="0" borderId="8" xfId="0" applyNumberFormat="1" applyFont="1" applyFill="1" applyBorder="1" applyAlignment="1" applyProtection="1">
      <protection locked="0"/>
    </xf>
    <xf numFmtId="187" fontId="27" fillId="0" borderId="0" xfId="0" applyNumberFormat="1" applyFont="1" applyFill="1"/>
    <xf numFmtId="187" fontId="27" fillId="0" borderId="27" xfId="0" applyNumberFormat="1" applyFont="1" applyFill="1" applyBorder="1"/>
    <xf numFmtId="41" fontId="27" fillId="0" borderId="0" xfId="0" applyNumberFormat="1" applyFont="1" applyFill="1" applyBorder="1" applyAlignment="1"/>
    <xf numFmtId="41" fontId="27" fillId="0" borderId="0" xfId="0" applyNumberFormat="1" applyFont="1" applyFill="1"/>
    <xf numFmtId="168" fontId="0" fillId="0" borderId="0" xfId="0" applyNumberFormat="1" applyFont="1" applyFill="1"/>
    <xf numFmtId="41" fontId="27" fillId="0" borderId="26" xfId="0" applyNumberFormat="1" applyFont="1" applyFill="1" applyBorder="1"/>
    <xf numFmtId="42" fontId="27" fillId="0" borderId="4" xfId="0" applyNumberFormat="1" applyFont="1" applyFill="1" applyBorder="1"/>
    <xf numFmtId="0" fontId="8" fillId="0" borderId="0" xfId="0" applyNumberFormat="1" applyFont="1" applyFill="1" applyAlignment="1"/>
    <xf numFmtId="0" fontId="8" fillId="0" borderId="27" xfId="0" applyNumberFormat="1" applyFont="1" applyFill="1" applyBorder="1" applyAlignment="1">
      <alignment horizontal="center" wrapText="1"/>
    </xf>
    <xf numFmtId="0" fontId="0" fillId="0" borderId="27" xfId="0" applyNumberFormat="1" applyFont="1" applyFill="1" applyBorder="1" applyAlignment="1"/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42" fontId="0" fillId="0" borderId="0" xfId="0" applyNumberFormat="1" applyFont="1" applyFill="1" applyAlignment="1">
      <alignment horizontal="right"/>
    </xf>
    <xf numFmtId="41" fontId="0" fillId="0" borderId="0" xfId="0" applyNumberFormat="1" applyFont="1" applyFill="1" applyAlignment="1">
      <alignment horizontal="right"/>
    </xf>
    <xf numFmtId="41" fontId="0" fillId="0" borderId="27" xfId="0" applyNumberFormat="1" applyFont="1" applyFill="1" applyBorder="1" applyAlignment="1">
      <alignment horizontal="right"/>
    </xf>
    <xf numFmtId="42" fontId="0" fillId="0" borderId="26" xfId="0" applyNumberFormat="1" applyFont="1" applyFill="1" applyBorder="1" applyAlignment="1" applyProtection="1">
      <protection locked="0"/>
    </xf>
    <xf numFmtId="167" fontId="0" fillId="0" borderId="0" xfId="0" applyNumberFormat="1" applyFont="1" applyFill="1" applyAlignment="1"/>
    <xf numFmtId="42" fontId="0" fillId="0" borderId="26" xfId="0" applyNumberFormat="1" applyFont="1" applyFill="1" applyBorder="1" applyAlignment="1"/>
    <xf numFmtId="42" fontId="0" fillId="0" borderId="0" xfId="0" applyNumberFormat="1" applyFont="1" applyFill="1" applyAlignment="1" applyProtection="1">
      <protection locked="0"/>
    </xf>
    <xf numFmtId="10" fontId="0" fillId="0" borderId="0" xfId="0" applyNumberFormat="1" applyFont="1" applyFill="1" applyAlignment="1"/>
    <xf numFmtId="191" fontId="0" fillId="0" borderId="0" xfId="0" applyNumberFormat="1" applyFont="1" applyFill="1" applyAlignment="1"/>
    <xf numFmtId="41" fontId="0" fillId="0" borderId="0" xfId="0" applyNumberFormat="1" applyFont="1" applyFill="1" applyAlignment="1" applyProtection="1">
      <protection locked="0"/>
    </xf>
    <xf numFmtId="41" fontId="0" fillId="0" borderId="0" xfId="0" applyNumberFormat="1" applyFont="1" applyFill="1" applyAlignment="1" applyProtection="1">
      <alignment horizontal="left"/>
      <protection locked="0"/>
    </xf>
    <xf numFmtId="41" fontId="0" fillId="0" borderId="0" xfId="0" applyNumberFormat="1" applyFont="1" applyFill="1" applyBorder="1" applyAlignment="1" applyProtection="1">
      <protection locked="0"/>
    </xf>
    <xf numFmtId="42" fontId="0" fillId="0" borderId="26" xfId="0" applyNumberFormat="1" applyFont="1" applyFill="1" applyBorder="1" applyAlignment="1" applyProtection="1"/>
    <xf numFmtId="42" fontId="0" fillId="0" borderId="8" xfId="0" applyNumberFormat="1" applyFont="1" applyFill="1" applyBorder="1" applyAlignment="1" applyProtection="1"/>
    <xf numFmtId="0" fontId="0" fillId="0" borderId="0" xfId="0" applyFont="1" applyFill="1" applyAlignment="1">
      <alignment horizontal="right"/>
    </xf>
    <xf numFmtId="37" fontId="0" fillId="0" borderId="0" xfId="0" applyNumberFormat="1" applyFont="1" applyFill="1"/>
    <xf numFmtId="0" fontId="0" fillId="0" borderId="0" xfId="0" applyFont="1" applyFill="1" applyAlignment="1">
      <alignment horizontal="left" indent="1"/>
    </xf>
    <xf numFmtId="42" fontId="0" fillId="0" borderId="0" xfId="0" applyNumberFormat="1" applyFont="1" applyFill="1" applyBorder="1" applyAlignment="1"/>
    <xf numFmtId="0" fontId="0" fillId="0" borderId="26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8" xfId="0" applyFont="1" applyFill="1" applyBorder="1" applyAlignment="1">
      <alignment horizontal="left"/>
    </xf>
    <xf numFmtId="0" fontId="3" fillId="0" borderId="12" xfId="0" applyNumberFormat="1" applyFont="1" applyFill="1" applyBorder="1" applyAlignment="1">
      <alignment horizontal="right"/>
    </xf>
    <xf numFmtId="185" fontId="3" fillId="0" borderId="21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right"/>
    </xf>
    <xf numFmtId="175" fontId="3" fillId="0" borderId="0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6" xfId="0" applyFont="1" applyFill="1" applyBorder="1" applyAlignment="1">
      <alignment horizontal="center"/>
    </xf>
    <xf numFmtId="186" fontId="3" fillId="0" borderId="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/>
    <xf numFmtId="0" fontId="3" fillId="0" borderId="0" xfId="0" applyFont="1" applyFill="1" applyBorder="1" applyAlignment="1"/>
    <xf numFmtId="0" fontId="3" fillId="0" borderId="27" xfId="0" applyNumberFormat="1" applyFont="1" applyFill="1" applyBorder="1" applyAlignment="1">
      <alignment horizontal="left"/>
    </xf>
    <xf numFmtId="0" fontId="3" fillId="0" borderId="27" xfId="0" quotePrefix="1" applyFont="1" applyFill="1" applyBorder="1" applyAlignment="1" applyProtection="1">
      <alignment horizontal="center"/>
      <protection locked="0"/>
    </xf>
    <xf numFmtId="0" fontId="3" fillId="0" borderId="27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0" xfId="0" applyNumberFormat="1" applyFont="1" applyFill="1" applyAlignment="1"/>
    <xf numFmtId="37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42" fontId="1" fillId="0" borderId="0" xfId="0" applyNumberFormat="1" applyFont="1" applyFill="1" applyAlignment="1"/>
    <xf numFmtId="0" fontId="1" fillId="0" borderId="0" xfId="0" applyNumberFormat="1" applyFont="1" applyFill="1" applyAlignment="1">
      <alignment vertical="top"/>
    </xf>
    <xf numFmtId="0" fontId="1" fillId="0" borderId="0" xfId="0" applyFont="1" applyFill="1" applyBorder="1" applyAlignment="1">
      <alignment horizontal="left"/>
    </xf>
    <xf numFmtId="41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1" fillId="0" borderId="26" xfId="0" applyNumberFormat="1" applyFont="1" applyFill="1" applyBorder="1" applyAlignment="1">
      <alignment vertical="top"/>
    </xf>
    <xf numFmtId="0" fontId="1" fillId="0" borderId="0" xfId="0" applyNumberFormat="1" applyFont="1" applyFill="1" applyBorder="1" applyAlignment="1">
      <alignment vertical="top"/>
    </xf>
    <xf numFmtId="41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left"/>
    </xf>
    <xf numFmtId="41" fontId="1" fillId="0" borderId="26" xfId="0" applyNumberFormat="1" applyFont="1" applyFill="1" applyBorder="1" applyAlignment="1">
      <alignment horizontal="right"/>
    </xf>
    <xf numFmtId="41" fontId="1" fillId="0" borderId="0" xfId="0" applyNumberFormat="1" applyFont="1" applyFill="1" applyBorder="1" applyAlignment="1">
      <alignment vertical="top"/>
    </xf>
    <xf numFmtId="182" fontId="1" fillId="0" borderId="0" xfId="0" applyNumberFormat="1" applyFont="1" applyFill="1" applyAlignment="1"/>
    <xf numFmtId="0" fontId="1" fillId="0" borderId="0" xfId="0" quotePrefix="1" applyFont="1" applyFill="1" applyAlignment="1">
      <alignment horizontal="left"/>
    </xf>
    <xf numFmtId="41" fontId="1" fillId="0" borderId="26" xfId="0" applyNumberFormat="1" applyFont="1" applyFill="1" applyBorder="1" applyAlignment="1"/>
    <xf numFmtId="168" fontId="1" fillId="0" borderId="26" xfId="0" applyNumberFormat="1" applyFont="1" applyFill="1" applyBorder="1" applyAlignment="1"/>
    <xf numFmtId="0" fontId="1" fillId="0" borderId="26" xfId="0" applyNumberFormat="1" applyFont="1" applyFill="1" applyBorder="1" applyAlignment="1"/>
    <xf numFmtId="41" fontId="1" fillId="0" borderId="0" xfId="0" applyNumberFormat="1" applyFont="1" applyFill="1" applyBorder="1" applyAlignment="1"/>
    <xf numFmtId="173" fontId="1" fillId="0" borderId="0" xfId="0" applyNumberFormat="1" applyFont="1" applyFill="1" applyAlignment="1"/>
    <xf numFmtId="42" fontId="1" fillId="0" borderId="4" xfId="0" applyNumberFormat="1" applyFont="1" applyFill="1" applyBorder="1" applyAlignment="1"/>
    <xf numFmtId="168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3" fillId="0" borderId="10" xfId="0" applyNumberFormat="1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29" xfId="0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centerContinuous"/>
    </xf>
    <xf numFmtId="184" fontId="3" fillId="0" borderId="6" xfId="0" applyNumberFormat="1" applyFont="1" applyFill="1" applyBorder="1" applyAlignment="1" applyProtection="1">
      <alignment horizontal="center"/>
      <protection locked="0"/>
    </xf>
    <xf numFmtId="186" fontId="3" fillId="0" borderId="6" xfId="0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left" wrapText="1"/>
    </xf>
    <xf numFmtId="0" fontId="4" fillId="0" borderId="0" xfId="0" applyFont="1" applyFill="1" applyAlignment="1">
      <alignment horizontal="center"/>
    </xf>
    <xf numFmtId="0" fontId="3" fillId="0" borderId="0" xfId="0" applyNumberFormat="1" applyFont="1" applyFill="1" applyBorder="1" applyAlignment="1" applyProtection="1">
      <protection locked="0"/>
    </xf>
    <xf numFmtId="165" fontId="3" fillId="0" borderId="27" xfId="0" applyNumberFormat="1" applyFont="1" applyFill="1" applyBorder="1" applyAlignment="1">
      <alignment horizontal="center"/>
    </xf>
    <xf numFmtId="165" fontId="3" fillId="0" borderId="27" xfId="0" applyNumberFormat="1" applyFont="1" applyFill="1" applyBorder="1" applyAlignment="1">
      <alignment horizontal="left"/>
    </xf>
    <xf numFmtId="0" fontId="3" fillId="0" borderId="27" xfId="0" quotePrefix="1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quotePrefix="1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/>
    <xf numFmtId="0" fontId="3" fillId="0" borderId="1" xfId="0" quotePrefix="1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left"/>
    </xf>
    <xf numFmtId="0" fontId="3" fillId="0" borderId="1" xfId="0" quotePrefix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horizontal="left"/>
    </xf>
    <xf numFmtId="9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Alignment="1"/>
    <xf numFmtId="0" fontId="30" fillId="0" borderId="0" xfId="0" applyNumberFormat="1" applyFont="1" applyFill="1" applyAlignment="1"/>
    <xf numFmtId="165" fontId="3" fillId="0" borderId="0" xfId="1" applyFont="1" applyFill="1" applyAlignment="1"/>
    <xf numFmtId="0" fontId="3" fillId="0" borderId="0" xfId="0" applyFont="1" applyFill="1" applyAlignment="1"/>
    <xf numFmtId="42" fontId="1" fillId="0" borderId="0" xfId="0" applyNumberFormat="1" applyFont="1" applyFill="1" applyAlignment="1">
      <alignment horizontal="right"/>
    </xf>
    <xf numFmtId="42" fontId="26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left"/>
    </xf>
    <xf numFmtId="165" fontId="29" fillId="0" borderId="0" xfId="0" applyNumberFormat="1" applyFont="1" applyFill="1" applyBorder="1" applyAlignment="1" applyProtection="1">
      <alignment horizontal="left"/>
      <protection locked="0"/>
    </xf>
    <xf numFmtId="169" fontId="1" fillId="0" borderId="0" xfId="0" applyNumberFormat="1" applyFont="1" applyFill="1" applyBorder="1"/>
    <xf numFmtId="170" fontId="1" fillId="0" borderId="0" xfId="0" quotePrefix="1" applyNumberFormat="1" applyFont="1" applyFill="1" applyBorder="1" applyAlignment="1">
      <alignment horizontal="left"/>
    </xf>
    <xf numFmtId="42" fontId="5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protection locked="0"/>
    </xf>
    <xf numFmtId="42" fontId="1" fillId="0" borderId="0" xfId="0" applyNumberFormat="1" applyFont="1" applyFill="1" applyAlignment="1" applyProtection="1">
      <alignment horizontal="right"/>
      <protection locked="0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left"/>
    </xf>
    <xf numFmtId="42" fontId="1" fillId="0" borderId="0" xfId="0" applyNumberFormat="1" applyFont="1" applyFill="1" applyAlignment="1" applyProtection="1">
      <protection locked="0"/>
    </xf>
    <xf numFmtId="0" fontId="29" fillId="0" borderId="0" xfId="0" applyFont="1" applyFill="1"/>
    <xf numFmtId="0" fontId="3" fillId="0" borderId="0" xfId="0" applyFont="1" applyFill="1" applyBorder="1" applyAlignment="1">
      <alignment horizontal="left"/>
    </xf>
    <xf numFmtId="165" fontId="29" fillId="0" borderId="0" xfId="0" applyNumberFormat="1" applyFont="1" applyFill="1" applyAlignment="1"/>
    <xf numFmtId="164" fontId="1" fillId="0" borderId="0" xfId="0" applyNumberFormat="1" applyFont="1" applyFill="1" applyAlignment="1" applyProtection="1">
      <alignment horizontal="left"/>
    </xf>
    <xf numFmtId="0" fontId="30" fillId="0" borderId="0" xfId="0" applyNumberFormat="1" applyFont="1" applyFill="1" applyAlignment="1">
      <alignment horizontal="left"/>
    </xf>
    <xf numFmtId="0" fontId="30" fillId="0" borderId="0" xfId="0" applyNumberFormat="1" applyFont="1" applyFill="1" applyAlignment="1">
      <alignment horizontal="center"/>
    </xf>
    <xf numFmtId="0" fontId="30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29" fillId="0" borderId="0" xfId="0" applyFont="1" applyFill="1" applyAlignment="1">
      <alignment horizontal="left"/>
    </xf>
    <xf numFmtId="169" fontId="1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0" fontId="26" fillId="0" borderId="0" xfId="0" applyNumberFormat="1" applyFont="1" applyFill="1" applyAlignment="1"/>
    <xf numFmtId="0" fontId="26" fillId="0" borderId="0" xfId="0" applyFont="1" applyFill="1"/>
    <xf numFmtId="165" fontId="1" fillId="0" borderId="0" xfId="1" applyFont="1" applyFill="1" applyAlignment="1">
      <alignment horizontal="left" indent="1"/>
    </xf>
    <xf numFmtId="0" fontId="1" fillId="0" borderId="0" xfId="0" applyFont="1" applyFill="1" applyAlignment="1">
      <alignment horizontal="left" indent="1"/>
    </xf>
    <xf numFmtId="42" fontId="1" fillId="0" borderId="0" xfId="0" applyNumberFormat="1" applyFont="1" applyFill="1" applyBorder="1" applyAlignment="1">
      <alignment vertical="center"/>
    </xf>
    <xf numFmtId="42" fontId="1" fillId="0" borderId="0" xfId="0" applyNumberFormat="1" applyFont="1" applyFill="1" applyBorder="1" applyAlignment="1"/>
    <xf numFmtId="37" fontId="1" fillId="0" borderId="0" xfId="0" applyNumberFormat="1" applyFont="1" applyFill="1" applyAlignment="1">
      <alignment horizontal="left"/>
    </xf>
    <xf numFmtId="41" fontId="1" fillId="0" borderId="0" xfId="0" applyNumberFormat="1" applyFont="1" applyFill="1" applyBorder="1" applyAlignment="1" applyProtection="1">
      <protection locked="0"/>
    </xf>
    <xf numFmtId="41" fontId="1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wrapText="1"/>
    </xf>
    <xf numFmtId="43" fontId="1" fillId="0" borderId="0" xfId="0" applyNumberFormat="1" applyFont="1" applyFill="1" applyAlignment="1"/>
    <xf numFmtId="41" fontId="1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71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 indent="1"/>
    </xf>
    <xf numFmtId="168" fontId="1" fillId="0" borderId="0" xfId="0" applyNumberFormat="1" applyFont="1" applyFill="1" applyBorder="1"/>
    <xf numFmtId="168" fontId="1" fillId="0" borderId="1" xfId="0" applyNumberFormat="1" applyFont="1" applyFill="1" applyBorder="1"/>
    <xf numFmtId="41" fontId="1" fillId="0" borderId="26" xfId="0" applyNumberFormat="1" applyFont="1" applyFill="1" applyBorder="1" applyProtection="1">
      <protection locked="0"/>
    </xf>
    <xf numFmtId="41" fontId="1" fillId="0" borderId="0" xfId="0" applyNumberFormat="1" applyFont="1" applyFill="1" applyAlignment="1" applyProtection="1">
      <protection locked="0"/>
    </xf>
    <xf numFmtId="168" fontId="1" fillId="0" borderId="0" xfId="0" applyNumberFormat="1" applyFont="1" applyFill="1" applyAlignment="1" applyProtection="1">
      <protection locked="0"/>
    </xf>
    <xf numFmtId="165" fontId="5" fillId="0" borderId="0" xfId="0" applyNumberFormat="1" applyFont="1" applyFill="1" applyAlignment="1">
      <alignment horizontal="left"/>
    </xf>
    <xf numFmtId="41" fontId="1" fillId="0" borderId="1" xfId="0" applyNumberFormat="1" applyFont="1" applyFill="1" applyBorder="1" applyAlignment="1" applyProtection="1">
      <protection locked="0"/>
    </xf>
    <xf numFmtId="41" fontId="1" fillId="0" borderId="1" xfId="0" applyNumberFormat="1" applyFont="1" applyFill="1" applyBorder="1" applyAlignment="1"/>
    <xf numFmtId="10" fontId="1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2"/>
    </xf>
    <xf numFmtId="42" fontId="26" fillId="0" borderId="0" xfId="0" applyNumberFormat="1" applyFont="1" applyFill="1" applyBorder="1"/>
    <xf numFmtId="41" fontId="26" fillId="0" borderId="0" xfId="0" applyNumberFormat="1" applyFont="1" applyFill="1" applyBorder="1" applyAlignment="1"/>
    <xf numFmtId="42" fontId="1" fillId="0" borderId="26" xfId="0" applyNumberFormat="1" applyFont="1" applyFill="1" applyBorder="1" applyAlignment="1"/>
    <xf numFmtId="41" fontId="1" fillId="0" borderId="7" xfId="0" applyNumberFormat="1" applyFont="1" applyFill="1" applyBorder="1" applyAlignment="1">
      <alignment horizontal="center"/>
    </xf>
    <xf numFmtId="41" fontId="1" fillId="0" borderId="7" xfId="0" applyNumberFormat="1" applyFont="1" applyFill="1" applyBorder="1" applyProtection="1">
      <protection locked="0"/>
    </xf>
    <xf numFmtId="41" fontId="1" fillId="0" borderId="0" xfId="0" applyNumberFormat="1" applyFont="1" applyFill="1" applyBorder="1" applyProtection="1">
      <protection locked="0"/>
    </xf>
    <xf numFmtId="42" fontId="1" fillId="0" borderId="0" xfId="0" applyNumberFormat="1" applyFont="1" applyFill="1" applyBorder="1" applyAlignment="1">
      <alignment horizontal="right"/>
    </xf>
    <xf numFmtId="169" fontId="5" fillId="0" borderId="1" xfId="0" applyNumberFormat="1" applyFont="1" applyFill="1" applyBorder="1"/>
    <xf numFmtId="42" fontId="1" fillId="0" borderId="0" xfId="0" applyNumberFormat="1" applyFont="1" applyFill="1" applyBorder="1" applyAlignment="1" applyProtection="1">
      <protection locked="0"/>
    </xf>
    <xf numFmtId="169" fontId="1" fillId="0" borderId="26" xfId="0" applyNumberFormat="1" applyFont="1" applyFill="1" applyBorder="1" applyAlignment="1" applyProtection="1">
      <protection locked="0"/>
    </xf>
    <xf numFmtId="42" fontId="1" fillId="0" borderId="26" xfId="0" applyNumberFormat="1" applyFont="1" applyFill="1" applyBorder="1" applyAlignment="1" applyProtection="1">
      <protection locked="0"/>
    </xf>
    <xf numFmtId="168" fontId="1" fillId="0" borderId="0" xfId="0" applyNumberFormat="1" applyFont="1" applyFill="1" applyAlignment="1">
      <alignment horizontal="right"/>
    </xf>
    <xf numFmtId="168" fontId="1" fillId="0" borderId="0" xfId="0" applyNumberFormat="1" applyFont="1" applyFill="1" applyAlignment="1" applyProtection="1">
      <alignment horizontal="right"/>
      <protection locked="0"/>
    </xf>
    <xf numFmtId="10" fontId="1" fillId="0" borderId="0" xfId="0" applyNumberFormat="1" applyFont="1" applyFill="1" applyAlignment="1">
      <alignment horizontal="center"/>
    </xf>
    <xf numFmtId="41" fontId="1" fillId="0" borderId="27" xfId="0" applyNumberFormat="1" applyFont="1" applyFill="1" applyBorder="1" applyAlignment="1" applyProtection="1">
      <protection locked="0"/>
    </xf>
    <xf numFmtId="41" fontId="1" fillId="0" borderId="27" xfId="0" applyNumberFormat="1" applyFont="1" applyFill="1" applyBorder="1" applyAlignment="1"/>
    <xf numFmtId="0" fontId="1" fillId="0" borderId="0" xfId="0" applyNumberFormat="1" applyFont="1" applyFill="1" applyAlignment="1">
      <alignment horizontal="left" indent="1"/>
    </xf>
    <xf numFmtId="41" fontId="1" fillId="0" borderId="0" xfId="0" applyNumberFormat="1" applyFont="1" applyFill="1" applyAlignment="1">
      <alignment horizontal="left" indent="1"/>
    </xf>
    <xf numFmtId="0" fontId="1" fillId="0" borderId="0" xfId="0" applyFont="1" applyFill="1" applyAlignment="1">
      <alignment horizontal="left" indent="2"/>
    </xf>
    <xf numFmtId="42" fontId="3" fillId="0" borderId="8" xfId="0" quotePrefix="1" applyNumberFormat="1" applyFont="1" applyFill="1" applyBorder="1" applyAlignment="1">
      <alignment horizontal="left"/>
    </xf>
    <xf numFmtId="168" fontId="26" fillId="0" borderId="0" xfId="3" quotePrefix="1" applyNumberFormat="1" applyFont="1" applyFill="1" applyBorder="1" applyAlignment="1">
      <alignment horizontal="left"/>
    </xf>
    <xf numFmtId="0" fontId="1" fillId="0" borderId="0" xfId="0" applyFont="1" applyFill="1" applyAlignment="1">
      <alignment horizontal="right"/>
    </xf>
    <xf numFmtId="42" fontId="3" fillId="0" borderId="4" xfId="0" applyNumberFormat="1" applyFont="1" applyFill="1" applyBorder="1"/>
    <xf numFmtId="49" fontId="1" fillId="0" borderId="0" xfId="0" applyNumberFormat="1" applyFont="1" applyFill="1" applyBorder="1" applyAlignment="1">
      <alignment horizontal="left"/>
    </xf>
    <xf numFmtId="41" fontId="1" fillId="0" borderId="0" xfId="0" applyNumberFormat="1" applyFont="1" applyFill="1" applyBorder="1" applyAlignment="1">
      <alignment horizontal="center"/>
    </xf>
    <xf numFmtId="41" fontId="5" fillId="0" borderId="26" xfId="0" quotePrefix="1" applyNumberFormat="1" applyFont="1" applyFill="1" applyBorder="1" applyAlignment="1">
      <alignment horizontal="left"/>
    </xf>
    <xf numFmtId="168" fontId="5" fillId="0" borderId="0" xfId="0" applyNumberFormat="1" applyFont="1" applyFill="1" applyBorder="1"/>
    <xf numFmtId="167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/>
    <xf numFmtId="168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 indent="2"/>
    </xf>
    <xf numFmtId="41" fontId="26" fillId="0" borderId="0" xfId="0" applyNumberFormat="1" applyFont="1" applyFill="1"/>
    <xf numFmtId="37" fontId="1" fillId="0" borderId="0" xfId="0" applyNumberFormat="1" applyFont="1" applyFill="1" applyAlignment="1">
      <alignment horizontal="right"/>
    </xf>
    <xf numFmtId="165" fontId="5" fillId="0" borderId="0" xfId="0" applyNumberFormat="1" applyFont="1" applyFill="1" applyBorder="1" applyAlignment="1">
      <alignment horizontal="left"/>
    </xf>
    <xf numFmtId="9" fontId="1" fillId="0" borderId="0" xfId="0" applyNumberFormat="1" applyFont="1" applyFill="1" applyBorder="1" applyAlignment="1"/>
    <xf numFmtId="171" fontId="5" fillId="0" borderId="0" xfId="0" applyNumberFormat="1" applyFont="1" applyFill="1" applyBorder="1" applyAlignment="1">
      <alignment horizontal="right"/>
    </xf>
    <xf numFmtId="9" fontId="1" fillId="0" borderId="0" xfId="0" applyNumberFormat="1" applyFont="1" applyFill="1" applyAlignment="1"/>
    <xf numFmtId="168" fontId="1" fillId="0" borderId="27" xfId="0" applyNumberFormat="1" applyFont="1" applyFill="1" applyBorder="1" applyAlignment="1"/>
    <xf numFmtId="44" fontId="26" fillId="0" borderId="0" xfId="4" applyFont="1" applyFill="1"/>
    <xf numFmtId="41" fontId="26" fillId="0" borderId="0" xfId="0" applyNumberFormat="1" applyFont="1" applyFill="1" applyBorder="1"/>
    <xf numFmtId="41" fontId="3" fillId="0" borderId="8" xfId="0" applyNumberFormat="1" applyFont="1" applyFill="1" applyBorder="1"/>
    <xf numFmtId="9" fontId="26" fillId="0" borderId="0" xfId="0" applyNumberFormat="1" applyFont="1" applyFill="1" applyAlignment="1"/>
    <xf numFmtId="41" fontId="26" fillId="0" borderId="5" xfId="0" applyNumberFormat="1" applyFont="1" applyFill="1" applyBorder="1"/>
    <xf numFmtId="169" fontId="26" fillId="0" borderId="5" xfId="4" quotePrefix="1" applyNumberFormat="1" applyFont="1" applyFill="1" applyBorder="1" applyAlignment="1">
      <alignment horizontal="left"/>
    </xf>
    <xf numFmtId="42" fontId="1" fillId="0" borderId="27" xfId="0" applyNumberFormat="1" applyFont="1" applyFill="1" applyBorder="1" applyAlignment="1">
      <alignment vertical="center"/>
    </xf>
    <xf numFmtId="43" fontId="27" fillId="0" borderId="26" xfId="0" applyNumberFormat="1" applyFont="1" applyFill="1" applyBorder="1"/>
    <xf numFmtId="42" fontId="4" fillId="0" borderId="8" xfId="0" applyNumberFormat="1" applyFont="1" applyFill="1" applyBorder="1"/>
    <xf numFmtId="171" fontId="4" fillId="0" borderId="0" xfId="0" applyNumberFormat="1" applyFont="1" applyFill="1" applyBorder="1" applyAlignment="1">
      <alignment horizontal="right"/>
    </xf>
    <xf numFmtId="9" fontId="1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/>
    <xf numFmtId="42" fontId="3" fillId="0" borderId="8" xfId="0" applyNumberFormat="1" applyFont="1" applyFill="1" applyBorder="1"/>
    <xf numFmtId="169" fontId="3" fillId="0" borderId="8" xfId="0" applyNumberFormat="1" applyFont="1" applyFill="1" applyBorder="1" applyAlignment="1"/>
    <xf numFmtId="10" fontId="1" fillId="0" borderId="0" xfId="0" applyNumberFormat="1" applyFont="1" applyFill="1" applyBorder="1" applyAlignment="1">
      <alignment horizontal="center"/>
    </xf>
    <xf numFmtId="15" fontId="1" fillId="0" borderId="0" xfId="0" applyNumberFormat="1" applyFont="1" applyFill="1" applyAlignment="1"/>
    <xf numFmtId="168" fontId="1" fillId="0" borderId="8" xfId="0" applyNumberFormat="1" applyFont="1" applyFill="1" applyBorder="1" applyAlignment="1">
      <alignment horizontal="center"/>
    </xf>
    <xf numFmtId="0" fontId="1" fillId="0" borderId="0" xfId="1" applyNumberFormat="1" applyFont="1" applyFill="1" applyBorder="1" applyAlignment="1">
      <alignment horizontal="left" indent="1"/>
    </xf>
    <xf numFmtId="169" fontId="1" fillId="0" borderId="26" xfId="0" applyNumberFormat="1" applyFont="1" applyFill="1" applyBorder="1" applyAlignment="1"/>
    <xf numFmtId="169" fontId="26" fillId="0" borderId="26" xfId="0" applyNumberFormat="1" applyFont="1" applyFill="1" applyBorder="1" applyAlignment="1"/>
    <xf numFmtId="41" fontId="1" fillId="0" borderId="7" xfId="0" applyNumberFormat="1" applyFont="1" applyFill="1" applyBorder="1"/>
    <xf numFmtId="170" fontId="5" fillId="0" borderId="0" xfId="0" applyNumberFormat="1" applyFont="1" applyFill="1" applyBorder="1" applyAlignment="1">
      <alignment horizontal="left"/>
    </xf>
    <xf numFmtId="42" fontId="5" fillId="0" borderId="0" xfId="0" applyNumberFormat="1" applyFont="1" applyFill="1" applyBorder="1" applyAlignment="1"/>
    <xf numFmtId="42" fontId="5" fillId="0" borderId="0" xfId="0" applyNumberFormat="1" applyFont="1" applyFill="1" applyBorder="1" applyAlignment="1">
      <alignment horizontal="right"/>
    </xf>
    <xf numFmtId="42" fontId="1" fillId="0" borderId="8" xfId="0" applyNumberFormat="1" applyFont="1" applyFill="1" applyBorder="1" applyAlignment="1"/>
    <xf numFmtId="41" fontId="1" fillId="0" borderId="0" xfId="0" applyNumberFormat="1" applyFont="1" applyFill="1" applyBorder="1" applyAlignment="1" applyProtection="1">
      <alignment horizontal="right"/>
      <protection locked="0"/>
    </xf>
    <xf numFmtId="169" fontId="3" fillId="0" borderId="8" xfId="0" applyNumberFormat="1" applyFont="1" applyFill="1" applyBorder="1"/>
    <xf numFmtId="167" fontId="26" fillId="0" borderId="0" xfId="0" applyNumberFormat="1" applyFont="1" applyFill="1" applyAlignment="1">
      <alignment horizontal="center"/>
    </xf>
    <xf numFmtId="165" fontId="1" fillId="0" borderId="0" xfId="0" quotePrefix="1" applyNumberFormat="1" applyFont="1" applyFill="1" applyAlignment="1">
      <alignment horizontal="left"/>
    </xf>
    <xf numFmtId="169" fontId="1" fillId="0" borderId="4" xfId="0" applyNumberFormat="1" applyFont="1" applyFill="1" applyBorder="1"/>
    <xf numFmtId="169" fontId="26" fillId="0" borderId="4" xfId="0" applyNumberFormat="1" applyFont="1" applyFill="1" applyBorder="1"/>
    <xf numFmtId="42" fontId="1" fillId="0" borderId="8" xfId="0" applyNumberFormat="1" applyFont="1" applyFill="1" applyBorder="1" applyAlignment="1" applyProtection="1">
      <alignment horizontal="right"/>
      <protection locked="0"/>
    </xf>
    <xf numFmtId="43" fontId="29" fillId="0" borderId="0" xfId="0" applyNumberFormat="1" applyFont="1" applyFill="1" applyAlignment="1"/>
    <xf numFmtId="41" fontId="1" fillId="0" borderId="0" xfId="0" applyNumberFormat="1" applyFont="1" applyFill="1" applyBorder="1" applyAlignment="1">
      <alignment horizontal="left" indent="1"/>
    </xf>
    <xf numFmtId="1" fontId="1" fillId="0" borderId="0" xfId="0" quotePrefix="1" applyNumberFormat="1" applyFont="1" applyFill="1" applyAlignment="1">
      <alignment horizontal="left"/>
    </xf>
    <xf numFmtId="0" fontId="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/>
    <xf numFmtId="41" fontId="5" fillId="0" borderId="0" xfId="0" applyNumberFormat="1" applyFont="1" applyFill="1" applyBorder="1" applyAlignment="1"/>
    <xf numFmtId="41" fontId="5" fillId="0" borderId="0" xfId="0" applyNumberFormat="1" applyFont="1" applyFill="1" applyBorder="1" applyAlignment="1">
      <alignment horizontal="center"/>
    </xf>
    <xf numFmtId="172" fontId="5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/>
    <xf numFmtId="0" fontId="26" fillId="0" borderId="0" xfId="0" applyFont="1" applyFill="1" applyAlignment="1">
      <alignment horizontal="center"/>
    </xf>
    <xf numFmtId="168" fontId="27" fillId="0" borderId="8" xfId="0" applyNumberFormat="1" applyFont="1" applyFill="1" applyBorder="1"/>
    <xf numFmtId="41" fontId="5" fillId="0" borderId="0" xfId="0" applyNumberFormat="1" applyFont="1" applyFill="1" applyAlignment="1"/>
    <xf numFmtId="37" fontId="1" fillId="0" borderId="26" xfId="0" applyNumberFormat="1" applyFont="1" applyFill="1" applyBorder="1"/>
    <xf numFmtId="9" fontId="1" fillId="0" borderId="0" xfId="0" quotePrefix="1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/>
    <xf numFmtId="168" fontId="5" fillId="0" borderId="0" xfId="0" applyNumberFormat="1" applyFont="1" applyFill="1" applyBorder="1" applyAlignment="1">
      <alignment horizontal="center"/>
    </xf>
    <xf numFmtId="41" fontId="5" fillId="0" borderId="0" xfId="0" applyNumberFormat="1" applyFont="1" applyFill="1" applyAlignment="1">
      <alignment horizontal="center"/>
    </xf>
    <xf numFmtId="168" fontId="1" fillId="0" borderId="1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top"/>
    </xf>
    <xf numFmtId="37" fontId="1" fillId="0" borderId="0" xfId="0" applyNumberFormat="1" applyFont="1" applyFill="1" applyAlignment="1"/>
    <xf numFmtId="41" fontId="31" fillId="0" borderId="26" xfId="0" applyNumberFormat="1" applyFont="1" applyFill="1" applyBorder="1" applyAlignment="1"/>
    <xf numFmtId="177" fontId="1" fillId="0" borderId="0" xfId="0" applyNumberFormat="1" applyFont="1" applyFill="1" applyAlignment="1">
      <alignment horizontal="right"/>
    </xf>
    <xf numFmtId="174" fontId="1" fillId="0" borderId="0" xfId="0" applyNumberFormat="1" applyFont="1" applyFill="1" applyBorder="1" applyAlignment="1"/>
    <xf numFmtId="3" fontId="32" fillId="0" borderId="0" xfId="0" applyNumberFormat="1" applyFont="1" applyFill="1" applyAlignment="1"/>
    <xf numFmtId="15" fontId="1" fillId="0" borderId="0" xfId="0" applyNumberFormat="1" applyFont="1" applyFill="1" applyBorder="1"/>
    <xf numFmtId="44" fontId="1" fillId="0" borderId="0" xfId="0" applyNumberFormat="1" applyFont="1" applyFill="1" applyAlignment="1" applyProtection="1">
      <alignment horizontal="right"/>
      <protection locked="0"/>
    </xf>
    <xf numFmtId="167" fontId="1" fillId="0" borderId="0" xfId="0" applyNumberFormat="1" applyFont="1" applyFill="1" applyBorder="1" applyAlignment="1" applyProtection="1">
      <protection locked="0"/>
    </xf>
    <xf numFmtId="43" fontId="1" fillId="0" borderId="26" xfId="0" applyNumberFormat="1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indent="1"/>
    </xf>
    <xf numFmtId="0" fontId="1" fillId="0" borderId="0" xfId="0" quotePrefix="1" applyNumberFormat="1" applyFont="1" applyFill="1" applyAlignment="1">
      <alignment horizontal="left"/>
    </xf>
    <xf numFmtId="165" fontId="29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9" fontId="5" fillId="0" borderId="0" xfId="0" applyNumberFormat="1" applyFont="1" applyFill="1" applyBorder="1" applyAlignment="1"/>
    <xf numFmtId="43" fontId="5" fillId="0" borderId="0" xfId="0" applyNumberFormat="1" applyFont="1" applyFill="1" applyBorder="1" applyAlignment="1"/>
    <xf numFmtId="41" fontId="5" fillId="0" borderId="0" xfId="0" applyNumberFormat="1" applyFont="1" applyFill="1" applyBorder="1" applyAlignment="1">
      <alignment horizontal="fill"/>
    </xf>
    <xf numFmtId="0" fontId="31" fillId="0" borderId="0" xfId="0" applyNumberFormat="1" applyFont="1" applyFill="1" applyAlignment="1">
      <alignment horizontal="left" indent="2"/>
    </xf>
    <xf numFmtId="41" fontId="1" fillId="0" borderId="27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wrapText="1"/>
    </xf>
    <xf numFmtId="1" fontId="5" fillId="0" borderId="0" xfId="0" quotePrefix="1" applyNumberFormat="1" applyFont="1" applyFill="1" applyBorder="1" applyAlignment="1">
      <alignment horizontal="left"/>
    </xf>
    <xf numFmtId="41" fontId="31" fillId="0" borderId="0" xfId="0" applyNumberFormat="1" applyFont="1" applyFill="1" applyBorder="1" applyAlignment="1"/>
    <xf numFmtId="42" fontId="31" fillId="0" borderId="0" xfId="0" applyNumberFormat="1" applyFont="1" applyFill="1" applyBorder="1" applyAlignment="1"/>
    <xf numFmtId="41" fontId="4" fillId="0" borderId="0" xfId="0" applyNumberFormat="1" applyFont="1" applyFill="1"/>
    <xf numFmtId="1" fontId="5" fillId="0" borderId="0" xfId="0" applyNumberFormat="1" applyFont="1" applyFill="1" applyBorder="1" applyAlignment="1"/>
    <xf numFmtId="9" fontId="1" fillId="0" borderId="0" xfId="0" applyNumberFormat="1" applyFont="1" applyFill="1" applyBorder="1"/>
    <xf numFmtId="0" fontId="1" fillId="0" borderId="0" xfId="0" applyFont="1" applyFill="1" applyAlignment="1">
      <alignment horizontal="left" vertical="center"/>
    </xf>
    <xf numFmtId="169" fontId="1" fillId="0" borderId="0" xfId="0" applyNumberFormat="1" applyFont="1" applyFill="1" applyAlignment="1" applyProtection="1">
      <alignment vertical="center"/>
      <protection locked="0"/>
    </xf>
    <xf numFmtId="165" fontId="1" fillId="0" borderId="0" xfId="1" applyFont="1" applyFill="1" applyAlignment="1"/>
    <xf numFmtId="0" fontId="1" fillId="0" borderId="26" xfId="0" applyFont="1" applyFill="1" applyBorder="1" applyAlignment="1"/>
    <xf numFmtId="165" fontId="1" fillId="0" borderId="1" xfId="0" quotePrefix="1" applyNumberFormat="1" applyFont="1" applyFill="1" applyBorder="1" applyAlignment="1">
      <alignment horizontal="left"/>
    </xf>
    <xf numFmtId="167" fontId="1" fillId="0" borderId="0" xfId="0" applyNumberFormat="1" applyFont="1" applyFill="1" applyProtection="1">
      <protection locked="0"/>
    </xf>
    <xf numFmtId="165" fontId="1" fillId="0" borderId="0" xfId="0" quotePrefix="1" applyNumberFormat="1" applyFont="1" applyFill="1" applyBorder="1" applyAlignment="1">
      <alignment horizontal="left"/>
    </xf>
    <xf numFmtId="176" fontId="1" fillId="0" borderId="0" xfId="0" applyNumberFormat="1" applyFont="1" applyFill="1" applyBorder="1" applyAlignment="1">
      <alignment horizontal="right" wrapText="1"/>
    </xf>
    <xf numFmtId="169" fontId="1" fillId="0" borderId="8" xfId="0" applyNumberFormat="1" applyFont="1" applyFill="1" applyBorder="1"/>
    <xf numFmtId="169" fontId="26" fillId="0" borderId="0" xfId="0" applyNumberFormat="1" applyFont="1" applyFill="1" applyBorder="1" applyAlignment="1"/>
    <xf numFmtId="167" fontId="29" fillId="0" borderId="0" xfId="0" applyNumberFormat="1" applyFont="1" applyFill="1" applyBorder="1" applyAlignment="1" applyProtection="1">
      <protection locked="0"/>
    </xf>
    <xf numFmtId="42" fontId="26" fillId="0" borderId="8" xfId="0" applyNumberFormat="1" applyFont="1" applyFill="1" applyBorder="1" applyAlignment="1"/>
    <xf numFmtId="169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Border="1" applyAlignment="1" applyProtection="1">
      <protection locked="0"/>
    </xf>
    <xf numFmtId="10" fontId="1" fillId="0" borderId="0" xfId="0" applyNumberFormat="1" applyFont="1" applyFill="1" applyAlignment="1">
      <alignment horizontal="right"/>
    </xf>
    <xf numFmtId="41" fontId="33" fillId="0" borderId="0" xfId="0" applyNumberFormat="1" applyFont="1" applyFill="1" applyBorder="1" applyAlignment="1"/>
    <xf numFmtId="169" fontId="1" fillId="0" borderId="27" xfId="0" applyNumberFormat="1" applyFont="1" applyFill="1" applyBorder="1" applyAlignment="1">
      <alignment horizontal="center" vertical="center"/>
    </xf>
    <xf numFmtId="42" fontId="26" fillId="0" borderId="0" xfId="0" applyNumberFormat="1" applyFont="1" applyFill="1" applyBorder="1" applyAlignment="1"/>
    <xf numFmtId="0" fontId="27" fillId="0" borderId="0" xfId="0" applyFont="1" applyFill="1" applyAlignment="1"/>
    <xf numFmtId="41" fontId="26" fillId="0" borderId="27" xfId="0" applyNumberFormat="1" applyFont="1" applyFill="1" applyBorder="1" applyAlignment="1" applyProtection="1">
      <protection locked="0"/>
    </xf>
    <xf numFmtId="41" fontId="26" fillId="0" borderId="0" xfId="0" applyNumberFormat="1" applyFont="1" applyFill="1" applyAlignment="1"/>
    <xf numFmtId="169" fontId="1" fillId="0" borderId="8" xfId="0" applyNumberFormat="1" applyFont="1" applyFill="1" applyBorder="1" applyAlignment="1"/>
    <xf numFmtId="169" fontId="26" fillId="0" borderId="8" xfId="0" applyNumberFormat="1" applyFont="1" applyFill="1" applyBorder="1" applyAlignment="1"/>
    <xf numFmtId="167" fontId="1" fillId="0" borderId="1" xfId="0" applyNumberFormat="1" applyFont="1" applyFill="1" applyBorder="1" applyAlignment="1" applyProtection="1">
      <protection locked="0"/>
    </xf>
    <xf numFmtId="0" fontId="1" fillId="0" borderId="0" xfId="0" quotePrefix="1" applyNumberFormat="1" applyFont="1" applyFill="1" applyBorder="1" applyAlignment="1">
      <alignment horizontal="left"/>
    </xf>
    <xf numFmtId="178" fontId="1" fillId="0" borderId="0" xfId="0" applyNumberFormat="1" applyFont="1" applyFill="1" applyAlignment="1"/>
    <xf numFmtId="41" fontId="26" fillId="0" borderId="26" xfId="0" applyNumberFormat="1" applyFont="1" applyFill="1" applyBorder="1" applyAlignment="1"/>
    <xf numFmtId="168" fontId="1" fillId="0" borderId="0" xfId="0" applyNumberFormat="1" applyFont="1" applyFill="1" applyBorder="1" applyAlignment="1"/>
    <xf numFmtId="168" fontId="26" fillId="0" borderId="0" xfId="0" applyNumberFormat="1" applyFont="1" applyFill="1" applyBorder="1" applyAlignment="1"/>
    <xf numFmtId="3" fontId="1" fillId="0" borderId="0" xfId="0" applyNumberFormat="1" applyFont="1" applyFill="1" applyBorder="1" applyAlignment="1">
      <alignment horizontal="left" wrapText="1"/>
    </xf>
    <xf numFmtId="3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left" wrapText="1"/>
    </xf>
    <xf numFmtId="0" fontId="4" fillId="0" borderId="0" xfId="0" applyNumberFormat="1" applyFont="1" applyFill="1" applyAlignment="1">
      <alignment horizontal="center"/>
    </xf>
    <xf numFmtId="179" fontId="4" fillId="0" borderId="0" xfId="0" applyNumberFormat="1" applyFont="1" applyFill="1" applyAlignment="1" applyProtection="1">
      <alignment horizontal="center"/>
      <protection locked="0"/>
    </xf>
    <xf numFmtId="0" fontId="4" fillId="0" borderId="22" xfId="0" applyNumberFormat="1" applyFont="1" applyFill="1" applyBorder="1" applyAlignment="1">
      <alignment horizontal="center"/>
    </xf>
    <xf numFmtId="180" fontId="4" fillId="0" borderId="0" xfId="0" applyNumberFormat="1" applyFont="1" applyFill="1" applyAlignment="1" applyProtection="1">
      <alignment horizontal="center"/>
      <protection locked="0"/>
    </xf>
    <xf numFmtId="0" fontId="4" fillId="0" borderId="0" xfId="0" applyNumberFormat="1" applyFont="1" applyFill="1" applyAlignment="1" applyProtection="1">
      <alignment horizontal="center"/>
      <protection locked="0"/>
    </xf>
    <xf numFmtId="0" fontId="4" fillId="0" borderId="23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 wrapText="1"/>
    </xf>
    <xf numFmtId="0" fontId="4" fillId="0" borderId="0" xfId="0" quotePrefix="1" applyNumberFormat="1" applyFont="1" applyFill="1" applyAlignment="1">
      <alignment horizontal="center"/>
    </xf>
    <xf numFmtId="42" fontId="5" fillId="0" borderId="0" xfId="0" applyNumberFormat="1" applyFont="1" applyFill="1" applyAlignment="1" applyProtection="1">
      <protection locked="0"/>
    </xf>
    <xf numFmtId="42" fontId="27" fillId="0" borderId="0" xfId="0" applyNumberFormat="1" applyFont="1" applyFill="1" applyAlignment="1" applyProtection="1">
      <protection locked="0"/>
    </xf>
    <xf numFmtId="42" fontId="27" fillId="0" borderId="23" xfId="0" applyNumberFormat="1" applyFont="1" applyFill="1" applyBorder="1" applyAlignment="1" applyProtection="1">
      <protection locked="0"/>
    </xf>
    <xf numFmtId="42" fontId="5" fillId="0" borderId="23" xfId="0" applyNumberFormat="1" applyFont="1" applyFill="1" applyBorder="1" applyAlignment="1" applyProtection="1">
      <protection locked="0"/>
    </xf>
    <xf numFmtId="41" fontId="5" fillId="0" borderId="0" xfId="0" applyNumberFormat="1" applyFont="1" applyFill="1" applyAlignment="1" applyProtection="1">
      <protection locked="0"/>
    </xf>
    <xf numFmtId="41" fontId="5" fillId="0" borderId="23" xfId="0" applyNumberFormat="1" applyFont="1" applyFill="1" applyBorder="1" applyAlignment="1" applyProtection="1">
      <protection locked="0"/>
    </xf>
    <xf numFmtId="168" fontId="27" fillId="0" borderId="7" xfId="0" applyNumberFormat="1" applyFont="1" applyFill="1" applyBorder="1"/>
    <xf numFmtId="168" fontId="27" fillId="0" borderId="22" xfId="0" applyNumberFormat="1" applyFont="1" applyFill="1" applyBorder="1"/>
    <xf numFmtId="166" fontId="5" fillId="0" borderId="0" xfId="0" applyNumberFormat="1" applyFont="1" applyFill="1" applyAlignment="1"/>
    <xf numFmtId="41" fontId="27" fillId="0" borderId="0" xfId="0" applyNumberFormat="1" applyFont="1" applyFill="1" applyAlignment="1" applyProtection="1">
      <protection locked="0"/>
    </xf>
    <xf numFmtId="41" fontId="27" fillId="0" borderId="23" xfId="0" applyNumberFormat="1" applyFont="1" applyFill="1" applyBorder="1" applyAlignment="1" applyProtection="1">
      <protection locked="0"/>
    </xf>
    <xf numFmtId="169" fontId="27" fillId="0" borderId="7" xfId="0" applyNumberFormat="1" applyFont="1" applyFill="1" applyBorder="1"/>
    <xf numFmtId="169" fontId="27" fillId="0" borderId="22" xfId="0" applyNumberFormat="1" applyFont="1" applyFill="1" applyBorder="1"/>
    <xf numFmtId="0" fontId="5" fillId="0" borderId="0" xfId="0" quotePrefix="1" applyNumberFormat="1" applyFont="1" applyFill="1" applyAlignment="1">
      <alignment horizontal="left"/>
    </xf>
    <xf numFmtId="41" fontId="4" fillId="0" borderId="23" xfId="0" applyNumberFormat="1" applyFont="1" applyFill="1" applyBorder="1" applyAlignment="1" applyProtection="1">
      <protection locked="0"/>
    </xf>
    <xf numFmtId="0" fontId="27" fillId="0" borderId="7" xfId="0" applyFont="1" applyFill="1" applyBorder="1"/>
    <xf numFmtId="0" fontId="27" fillId="0" borderId="22" xfId="0" applyFont="1" applyFill="1" applyBorder="1"/>
    <xf numFmtId="42" fontId="5" fillId="0" borderId="4" xfId="0" applyNumberFormat="1" applyFont="1" applyFill="1" applyBorder="1" applyAlignment="1" applyProtection="1">
      <protection locked="0"/>
    </xf>
    <xf numFmtId="42" fontId="27" fillId="0" borderId="4" xfId="0" applyNumberFormat="1" applyFont="1" applyFill="1" applyBorder="1" applyAlignment="1" applyProtection="1">
      <protection locked="0"/>
    </xf>
    <xf numFmtId="42" fontId="27" fillId="0" borderId="25" xfId="0" applyNumberFormat="1" applyFont="1" applyFill="1" applyBorder="1" applyAlignment="1" applyProtection="1">
      <protection locked="0"/>
    </xf>
    <xf numFmtId="0" fontId="4" fillId="0" borderId="0" xfId="0" applyNumberFormat="1" applyFont="1" applyFill="1" applyAlignment="1">
      <alignment horizontal="right"/>
    </xf>
    <xf numFmtId="0" fontId="27" fillId="0" borderId="23" xfId="0" applyFont="1" applyFill="1" applyBorder="1"/>
    <xf numFmtId="42" fontId="27" fillId="0" borderId="23" xfId="0" applyNumberFormat="1" applyFont="1" applyFill="1" applyBorder="1"/>
    <xf numFmtId="10" fontId="5" fillId="0" borderId="0" xfId="0" applyNumberFormat="1" applyFont="1" applyFill="1" applyAlignment="1" applyProtection="1">
      <protection locked="0"/>
    </xf>
    <xf numFmtId="10" fontId="27" fillId="0" borderId="23" xfId="0" applyNumberFormat="1" applyFont="1" applyFill="1" applyBorder="1" applyAlignment="1" applyProtection="1">
      <protection locked="0"/>
    </xf>
    <xf numFmtId="41" fontId="5" fillId="0" borderId="0" xfId="0" applyNumberFormat="1" applyFont="1" applyFill="1" applyAlignment="1" applyProtection="1">
      <alignment horizontal="center"/>
      <protection locked="0"/>
    </xf>
    <xf numFmtId="164" fontId="5" fillId="0" borderId="0" xfId="0" applyNumberFormat="1" applyFont="1" applyFill="1" applyAlignment="1" applyProtection="1">
      <alignment horizontal="left"/>
    </xf>
    <xf numFmtId="44" fontId="5" fillId="0" borderId="0" xfId="4" applyFont="1" applyFill="1"/>
    <xf numFmtId="44" fontId="27" fillId="0" borderId="23" xfId="4" applyFont="1" applyFill="1" applyBorder="1" applyAlignment="1" applyProtection="1">
      <protection locked="0"/>
    </xf>
    <xf numFmtId="42" fontId="5" fillId="0" borderId="8" xfId="0" applyNumberFormat="1" applyFont="1" applyFill="1" applyBorder="1" applyAlignment="1" applyProtection="1">
      <protection locked="0"/>
    </xf>
    <xf numFmtId="42" fontId="27" fillId="0" borderId="8" xfId="0" applyNumberFormat="1" applyFont="1" applyFill="1" applyBorder="1" applyAlignment="1" applyProtection="1">
      <protection locked="0"/>
    </xf>
    <xf numFmtId="42" fontId="27" fillId="0" borderId="32" xfId="0" applyNumberFormat="1" applyFont="1" applyFill="1" applyBorder="1" applyAlignment="1" applyProtection="1">
      <protection locked="0"/>
    </xf>
    <xf numFmtId="42" fontId="5" fillId="0" borderId="32" xfId="0" applyNumberFormat="1" applyFont="1" applyFill="1" applyBorder="1" applyAlignment="1" applyProtection="1">
      <protection locked="0"/>
    </xf>
    <xf numFmtId="10" fontId="5" fillId="0" borderId="6" xfId="0" applyNumberFormat="1" applyFont="1" applyFill="1" applyBorder="1"/>
    <xf numFmtId="10" fontId="5" fillId="0" borderId="23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42" fontId="4" fillId="0" borderId="0" xfId="0" applyNumberFormat="1" applyFont="1" applyFill="1" applyBorder="1" applyAlignment="1"/>
    <xf numFmtId="0" fontId="5" fillId="0" borderId="30" xfId="0" applyFont="1" applyFill="1" applyBorder="1" applyAlignment="1">
      <alignment horizontal="left"/>
    </xf>
    <xf numFmtId="166" fontId="5" fillId="0" borderId="26" xfId="0" applyNumberFormat="1" applyFont="1" applyFill="1" applyBorder="1" applyAlignment="1" applyProtection="1">
      <protection locked="0"/>
    </xf>
    <xf numFmtId="0" fontId="5" fillId="0" borderId="31" xfId="0" applyNumberFormat="1" applyFont="1" applyFill="1" applyBorder="1" applyAlignment="1"/>
    <xf numFmtId="0" fontId="5" fillId="0" borderId="30" xfId="0" applyNumberFormat="1" applyFont="1" applyFill="1" applyBorder="1" applyAlignment="1">
      <alignment horizontal="left"/>
    </xf>
    <xf numFmtId="41" fontId="5" fillId="0" borderId="26" xfId="0" applyNumberFormat="1" applyFont="1" applyFill="1" applyBorder="1" applyAlignment="1"/>
    <xf numFmtId="166" fontId="5" fillId="0" borderId="3" xfId="0" applyNumberFormat="1" applyFont="1" applyFill="1" applyBorder="1" applyAlignment="1" applyProtection="1">
      <protection locked="0"/>
    </xf>
    <xf numFmtId="41" fontId="5" fillId="0" borderId="3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Alignment="1" applyProtection="1">
      <protection locked="0"/>
    </xf>
    <xf numFmtId="168" fontId="27" fillId="0" borderId="0" xfId="0" applyNumberFormat="1" applyFont="1" applyFill="1" applyAlignment="1" applyProtection="1">
      <protection locked="0"/>
    </xf>
    <xf numFmtId="10" fontId="27" fillId="0" borderId="0" xfId="0" applyNumberFormat="1" applyFont="1" applyFill="1" applyAlignment="1" applyProtection="1">
      <protection locked="0"/>
    </xf>
    <xf numFmtId="166" fontId="27" fillId="0" borderId="2" xfId="0" applyNumberFormat="1" applyFont="1" applyFill="1" applyBorder="1"/>
    <xf numFmtId="0" fontId="1" fillId="0" borderId="10" xfId="0" applyNumberFormat="1" applyFont="1" applyFill="1" applyBorder="1" applyAlignment="1">
      <alignment horizontal="right"/>
    </xf>
    <xf numFmtId="42" fontId="5" fillId="0" borderId="11" xfId="0" applyNumberFormat="1" applyFont="1" applyFill="1" applyBorder="1"/>
    <xf numFmtId="42" fontId="5" fillId="0" borderId="12" xfId="0" applyNumberFormat="1" applyFont="1" applyFill="1" applyBorder="1"/>
    <xf numFmtId="0" fontId="1" fillId="0" borderId="13" xfId="0" applyNumberFormat="1" applyFont="1" applyFill="1" applyBorder="1" applyAlignment="1">
      <alignment horizontal="right"/>
    </xf>
    <xf numFmtId="42" fontId="5" fillId="0" borderId="14" xfId="0" applyNumberFormat="1" applyFont="1" applyFill="1" applyBorder="1"/>
    <xf numFmtId="0" fontId="1" fillId="0" borderId="18" xfId="0" applyNumberFormat="1" applyFont="1" applyFill="1" applyBorder="1" applyAlignment="1">
      <alignment horizontal="right"/>
    </xf>
    <xf numFmtId="42" fontId="5" fillId="0" borderId="19" xfId="0" applyNumberFormat="1" applyFont="1" applyFill="1" applyBorder="1"/>
    <xf numFmtId="42" fontId="5" fillId="0" borderId="21" xfId="0" applyNumberFormat="1" applyFont="1" applyFill="1" applyBorder="1"/>
    <xf numFmtId="42" fontId="27" fillId="8" borderId="0" xfId="0" applyNumberFormat="1" applyFont="1" applyFill="1"/>
    <xf numFmtId="168" fontId="27" fillId="8" borderId="0" xfId="0" applyNumberFormat="1" applyFont="1" applyFill="1"/>
    <xf numFmtId="0" fontId="27" fillId="8" borderId="0" xfId="0" applyFont="1" applyFill="1"/>
    <xf numFmtId="168" fontId="27" fillId="8" borderId="26" xfId="0" applyNumberFormat="1" applyFont="1" applyFill="1" applyBorder="1"/>
    <xf numFmtId="0" fontId="5" fillId="8" borderId="0" xfId="0" applyFont="1" applyFill="1"/>
    <xf numFmtId="41" fontId="27" fillId="8" borderId="0" xfId="0" applyNumberFormat="1" applyFont="1" applyFill="1" applyBorder="1" applyAlignment="1"/>
    <xf numFmtId="41" fontId="27" fillId="8" borderId="0" xfId="0" applyNumberFormat="1" applyFont="1" applyFill="1"/>
    <xf numFmtId="0" fontId="1" fillId="8" borderId="0" xfId="0" applyNumberFormat="1" applyFont="1" applyFill="1" applyAlignment="1"/>
    <xf numFmtId="42" fontId="26" fillId="8" borderId="0" xfId="0" applyNumberFormat="1" applyFont="1" applyFill="1"/>
    <xf numFmtId="41" fontId="1" fillId="8" borderId="0" xfId="0" applyNumberFormat="1" applyFont="1" applyFill="1"/>
    <xf numFmtId="0" fontId="1" fillId="8" borderId="0" xfId="0" applyFont="1" applyFill="1"/>
    <xf numFmtId="0" fontId="1" fillId="8" borderId="26" xfId="0" applyFont="1" applyFill="1" applyBorder="1"/>
    <xf numFmtId="42" fontId="26" fillId="8" borderId="4" xfId="0" applyNumberFormat="1" applyFont="1" applyFill="1" applyBorder="1"/>
    <xf numFmtId="0" fontId="0" fillId="8" borderId="0" xfId="0" applyFont="1" applyFill="1"/>
    <xf numFmtId="10" fontId="27" fillId="8" borderId="0" xfId="0" applyNumberFormat="1" applyFont="1" applyFill="1"/>
    <xf numFmtId="0" fontId="27" fillId="8" borderId="26" xfId="0" applyFont="1" applyFill="1" applyBorder="1"/>
    <xf numFmtId="187" fontId="27" fillId="8" borderId="0" xfId="0" applyNumberFormat="1" applyFont="1" applyFill="1"/>
    <xf numFmtId="187" fontId="27" fillId="8" borderId="27" xfId="0" applyNumberFormat="1" applyFont="1" applyFill="1" applyBorder="1"/>
    <xf numFmtId="41" fontId="27" fillId="8" borderId="26" xfId="0" applyNumberFormat="1" applyFont="1" applyFill="1" applyBorder="1"/>
    <xf numFmtId="42" fontId="27" fillId="8" borderId="4" xfId="0" applyNumberFormat="1" applyFont="1" applyFill="1" applyBorder="1"/>
    <xf numFmtId="169" fontId="0" fillId="8" borderId="0" xfId="4" applyNumberFormat="1" applyFont="1" applyFill="1"/>
    <xf numFmtId="169" fontId="0" fillId="8" borderId="26" xfId="0" applyNumberFormat="1" applyFont="1" applyFill="1" applyBorder="1" applyAlignment="1">
      <alignment horizontal="center"/>
    </xf>
    <xf numFmtId="168" fontId="0" fillId="8" borderId="0" xfId="3" applyNumberFormat="1" applyFont="1" applyFill="1"/>
    <xf numFmtId="169" fontId="8" fillId="8" borderId="8" xfId="0" applyNumberFormat="1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42" fontId="14" fillId="8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2" fontId="1" fillId="0" borderId="0" xfId="0" applyNumberFormat="1" applyFont="1" applyFill="1" applyBorder="1" applyAlignment="1">
      <alignment horizontal="center" vertical="center"/>
    </xf>
    <xf numFmtId="42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Alignment="1">
      <alignment horizontal="center" vertical="center"/>
    </xf>
    <xf numFmtId="42" fontId="1" fillId="0" borderId="0" xfId="0" applyNumberFormat="1" applyFont="1" applyFill="1" applyAlignment="1">
      <alignment horizontal="center" vertical="center"/>
    </xf>
    <xf numFmtId="169" fontId="1" fillId="0" borderId="0" xfId="0" applyNumberFormat="1" applyFont="1" applyFill="1" applyBorder="1" applyAlignment="1">
      <alignment horizontal="center" vertical="center"/>
    </xf>
    <xf numFmtId="169" fontId="1" fillId="0" borderId="27" xfId="0" applyNumberFormat="1" applyFont="1" applyFill="1" applyBorder="1" applyAlignment="1">
      <alignment horizontal="center" vertical="center"/>
    </xf>
  </cellXfs>
  <cellStyles count="6">
    <cellStyle name="Comma" xfId="3" builtinId="3"/>
    <cellStyle name="Currency" xfId="4" builtinId="4"/>
    <cellStyle name="Normal" xfId="0" builtinId="0"/>
    <cellStyle name="Normal 135" xfId="2"/>
    <cellStyle name="Normal 2" xfId="1"/>
    <cellStyle name="Percent" xfId="5" builtinId="5"/>
  </cellStyles>
  <dxfs count="26"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6600FF"/>
      <color rgb="FFFFCC00"/>
      <color rgb="FF008000"/>
      <color rgb="FF0000FF"/>
      <color rgb="FFCCFF33"/>
      <color rgb="FF00FFFF"/>
      <color rgb="FFFF66CC"/>
      <color rgb="FFFFFF99"/>
      <color rgb="FFFF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Original%20Filing/Dirty%20Workpapers%202019%20GRC/%23NEW-PSE-WP-SEF-4.00G-GAS-MODEL-19GRC-06-2019%20-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Attrition%20Change/190529-30-PSE-WP-SEF-4.00E-ELECTRIC-MODEL-19GRC-09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Attrition%20Change/190529-30-PSE-WP-SEF-4.00G-GAS-MODEL-19GRC-09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COC-Restating"/>
      <sheetName val="Summary"/>
      <sheetName val="Detailed Summary"/>
      <sheetName val="Common Adj"/>
      <sheetName val="Gas Adj"/>
      <sheetName val="Named Ranges"/>
      <sheetName val="Dirty Only ==&gt;"/>
      <sheetName val="ETR GRC vs CBR TBPI 100%"/>
      <sheetName val="ETR GRC vs CBR"/>
      <sheetName val="Check ETR"/>
      <sheetName val="FIT Adj"/>
      <sheetName val="Verify"/>
      <sheetName val="ARAM"/>
      <sheetName val="Matrix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UG_________</v>
          </cell>
        </row>
        <row r="8">
          <cell r="C8" t="str">
            <v>PUGET SOUND ENERGY - NATURAL GAS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UG_________</v>
          </cell>
        </row>
        <row r="8">
          <cell r="C8" t="str">
            <v>PUGET SOUND ENERGY - NATURAL GAS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3.bin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5.bin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tabSelected="1" zoomScaleNormal="100" workbookViewId="0">
      <pane xSplit="1" ySplit="10" topLeftCell="B23" activePane="bottomRight" state="frozenSplit"/>
      <selection activeCell="AB38" sqref="AB38"/>
      <selection pane="topRight" activeCell="AB38" sqref="AB38"/>
      <selection pane="bottomLeft" activeCell="AB38" sqref="AB38"/>
      <selection pane="bottomRight" activeCell="E31" sqref="E31"/>
    </sheetView>
  </sheetViews>
  <sheetFormatPr defaultRowHeight="14.4" outlineLevelRow="1" x14ac:dyDescent="0.3"/>
  <cols>
    <col min="1" max="1" width="71.33203125" bestFit="1" customWidth="1"/>
    <col min="2" max="2" width="10.44140625" customWidth="1"/>
    <col min="3" max="3" width="11.5546875" bestFit="1" customWidth="1"/>
    <col min="4" max="4" width="12.33203125" bestFit="1" customWidth="1"/>
    <col min="5" max="5" width="13.5546875" bestFit="1" customWidth="1"/>
    <col min="6" max="6" width="13.44140625" bestFit="1" customWidth="1"/>
    <col min="7" max="7" width="14.88671875" bestFit="1" customWidth="1"/>
    <col min="8" max="8" width="13.6640625" bestFit="1" customWidth="1"/>
    <col min="9" max="9" width="13.6640625" customWidth="1"/>
    <col min="10" max="10" width="12.5546875" bestFit="1" customWidth="1"/>
    <col min="11" max="11" width="13.44140625" bestFit="1" customWidth="1"/>
    <col min="12" max="12" width="16" customWidth="1"/>
    <col min="13" max="13" width="9.5546875" bestFit="1" customWidth="1"/>
    <col min="14" max="14" width="12.5546875" bestFit="1" customWidth="1"/>
    <col min="15" max="15" width="10.6640625" bestFit="1" customWidth="1"/>
    <col min="16" max="16" width="12" bestFit="1" customWidth="1"/>
    <col min="17" max="17" width="13.5546875" bestFit="1" customWidth="1"/>
    <col min="18" max="18" width="12.5546875" bestFit="1" customWidth="1"/>
    <col min="19" max="19" width="11" bestFit="1" customWidth="1"/>
    <col min="20" max="20" width="13.6640625" bestFit="1" customWidth="1"/>
    <col min="21" max="21" width="11.33203125" bestFit="1" customWidth="1"/>
    <col min="22" max="22" width="12.5546875" bestFit="1" customWidth="1"/>
    <col min="23" max="23" width="14" bestFit="1" customWidth="1"/>
    <col min="24" max="24" width="13.6640625" bestFit="1" customWidth="1"/>
    <col min="25" max="25" width="14.109375" bestFit="1" customWidth="1"/>
    <col min="26" max="26" width="10" bestFit="1" customWidth="1"/>
    <col min="29" max="29" width="11.33203125" bestFit="1" customWidth="1"/>
    <col min="30" max="30" width="12" bestFit="1" customWidth="1"/>
    <col min="31" max="31" width="11.33203125" bestFit="1" customWidth="1"/>
    <col min="32" max="32" width="12.5546875" bestFit="1" customWidth="1"/>
    <col min="33" max="33" width="14" bestFit="1" customWidth="1"/>
    <col min="34" max="34" width="13.6640625" bestFit="1" customWidth="1"/>
    <col min="35" max="35" width="14.109375" bestFit="1" customWidth="1"/>
    <col min="36" max="36" width="10" bestFit="1" customWidth="1"/>
  </cols>
  <sheetData>
    <row r="1" spans="1:11" ht="18" x14ac:dyDescent="0.35">
      <c r="A1" s="102" t="s">
        <v>562</v>
      </c>
      <c r="D1" s="53">
        <v>7.5700000000000003E-2</v>
      </c>
    </row>
    <row r="2" spans="1:11" ht="18" x14ac:dyDescent="0.35">
      <c r="A2" s="102"/>
      <c r="D2" s="53">
        <v>7.4800000000000005E-2</v>
      </c>
    </row>
    <row r="3" spans="1:11" ht="18" x14ac:dyDescent="0.35">
      <c r="A3" s="102"/>
      <c r="D3" s="182">
        <f>+'COC, Def, ConvF'!H14</f>
        <v>7.4399999999999994E-2</v>
      </c>
      <c r="E3" t="s">
        <v>714</v>
      </c>
    </row>
    <row r="4" spans="1:11" ht="18" x14ac:dyDescent="0.35">
      <c r="A4" s="102"/>
      <c r="D4" s="182">
        <f>+'COC, Def, ConvF'!H12</f>
        <v>2.8299999999999999E-2</v>
      </c>
      <c r="E4" t="s">
        <v>713</v>
      </c>
    </row>
    <row r="5" spans="1:11" x14ac:dyDescent="0.3">
      <c r="D5" s="53">
        <v>2.87E-2</v>
      </c>
      <c r="F5" s="54">
        <v>1.3657949920243828E-2</v>
      </c>
      <c r="H5" s="56">
        <v>1.0136864409724622</v>
      </c>
      <c r="I5" t="s">
        <v>698</v>
      </c>
    </row>
    <row r="6" spans="1:11" x14ac:dyDescent="0.3">
      <c r="D6" s="53">
        <f>+'COC, Def, ConvF'!L19</f>
        <v>0.21</v>
      </c>
      <c r="F6" s="54">
        <v>1.4512573220204494E-2</v>
      </c>
      <c r="G6" s="55">
        <f>D7</f>
        <v>0.75409700000000002</v>
      </c>
      <c r="H6" s="56">
        <v>1.0143</v>
      </c>
    </row>
    <row r="7" spans="1:11" x14ac:dyDescent="0.3">
      <c r="D7">
        <f>+'COC, Def, ConvF'!M20</f>
        <v>0.75409700000000002</v>
      </c>
      <c r="F7" s="54">
        <v>0</v>
      </c>
      <c r="G7" s="55">
        <f>+'COC, Def, ConvF'!M18</f>
        <v>0.95455299999999998</v>
      </c>
      <c r="H7" s="56">
        <v>1.0136579499202438</v>
      </c>
      <c r="I7" s="56"/>
    </row>
    <row r="8" spans="1:11" x14ac:dyDescent="0.3">
      <c r="F8" s="54"/>
      <c r="G8" s="55"/>
      <c r="H8" s="57" t="s">
        <v>523</v>
      </c>
      <c r="I8" s="57" t="s">
        <v>553</v>
      </c>
    </row>
    <row r="9" spans="1:11" x14ac:dyDescent="0.3">
      <c r="B9" s="57" t="s">
        <v>545</v>
      </c>
      <c r="C9" s="57" t="s">
        <v>516</v>
      </c>
      <c r="E9" s="57" t="s">
        <v>572</v>
      </c>
      <c r="F9" s="57" t="s">
        <v>515</v>
      </c>
      <c r="G9" s="57" t="s">
        <v>517</v>
      </c>
      <c r="H9" s="57" t="s">
        <v>551</v>
      </c>
      <c r="I9" s="57" t="s">
        <v>554</v>
      </c>
    </row>
    <row r="10" spans="1:11" x14ac:dyDescent="0.3">
      <c r="A10" s="57" t="s">
        <v>518</v>
      </c>
      <c r="B10" s="57" t="s">
        <v>546</v>
      </c>
      <c r="C10" s="57" t="s">
        <v>520</v>
      </c>
      <c r="D10" s="57" t="s">
        <v>521</v>
      </c>
      <c r="E10" s="57" t="s">
        <v>573</v>
      </c>
      <c r="F10" s="57" t="s">
        <v>519</v>
      </c>
      <c r="G10" s="57" t="s">
        <v>522</v>
      </c>
      <c r="H10" s="57" t="s">
        <v>552</v>
      </c>
      <c r="I10" s="57" t="s">
        <v>555</v>
      </c>
    </row>
    <row r="11" spans="1:11" x14ac:dyDescent="0.3">
      <c r="A11" s="57"/>
      <c r="B11" s="57"/>
      <c r="C11" s="57"/>
      <c r="D11" s="57"/>
      <c r="E11" s="57"/>
      <c r="F11" s="57"/>
      <c r="G11" s="57"/>
      <c r="H11" s="57"/>
      <c r="I11" s="57"/>
      <c r="K11" t="s">
        <v>582</v>
      </c>
    </row>
    <row r="12" spans="1:11" x14ac:dyDescent="0.3">
      <c r="A12" s="103" t="s">
        <v>556</v>
      </c>
      <c r="B12" s="107"/>
      <c r="C12" s="107"/>
      <c r="D12" s="107"/>
      <c r="E12" s="107"/>
      <c r="F12" s="107"/>
      <c r="G12" s="107"/>
      <c r="H12" s="107"/>
      <c r="I12" s="115">
        <f>+'COC, Def, ConvF'!C36</f>
        <v>65472810.00545074</v>
      </c>
      <c r="J12" s="134">
        <v>65472810.00545074</v>
      </c>
      <c r="K12" s="140">
        <f>+I12-J12</f>
        <v>0</v>
      </c>
    </row>
    <row r="13" spans="1:11" x14ac:dyDescent="0.3">
      <c r="A13" s="57"/>
      <c r="B13" s="57"/>
      <c r="C13" s="57"/>
      <c r="D13" s="57"/>
      <c r="E13" s="57"/>
      <c r="F13" s="57"/>
      <c r="G13" s="57"/>
      <c r="H13" s="57"/>
      <c r="I13" s="57"/>
      <c r="J13" s="135"/>
      <c r="K13" s="85"/>
    </row>
    <row r="14" spans="1:11" x14ac:dyDescent="0.3">
      <c r="A14" s="103" t="s">
        <v>557</v>
      </c>
      <c r="B14" s="105"/>
      <c r="C14" s="105"/>
      <c r="D14" s="105"/>
      <c r="E14" s="105"/>
      <c r="F14" s="105"/>
      <c r="G14" s="105"/>
      <c r="H14" s="105"/>
      <c r="I14" s="106"/>
      <c r="J14" s="136"/>
      <c r="K14" s="85"/>
    </row>
    <row r="15" spans="1:11" x14ac:dyDescent="0.3">
      <c r="A15" t="s">
        <v>524</v>
      </c>
      <c r="B15" s="96" t="s">
        <v>547</v>
      </c>
      <c r="C15" s="58"/>
      <c r="D15" s="58"/>
      <c r="E15" s="66">
        <f>+'Detailed Summary'!AJ37</f>
        <v>-91958.276666666628</v>
      </c>
      <c r="F15" s="59">
        <f>E15*(1+$F$6)^(28/12)-E15</f>
        <v>-3144.1289644362114</v>
      </c>
      <c r="G15" s="58">
        <f>SUM(E15:F15)/$G$7</f>
        <v>-99630.304059704213</v>
      </c>
      <c r="H15" s="58">
        <f t="shared" ref="H15:H20" si="0">G15-G15/$H$6</f>
        <v>-1404.6271793885098</v>
      </c>
      <c r="I15" s="58">
        <f>+G15-H15</f>
        <v>-98225.676880315703</v>
      </c>
      <c r="J15" s="137">
        <v>-98224.334809091175</v>
      </c>
      <c r="K15" s="140">
        <f t="shared" ref="K15:K40" si="1">+I15-J15</f>
        <v>-1.3420712245278992</v>
      </c>
    </row>
    <row r="16" spans="1:11" x14ac:dyDescent="0.3">
      <c r="A16" t="s">
        <v>525</v>
      </c>
      <c r="B16" s="96" t="s">
        <v>547</v>
      </c>
      <c r="C16" s="60"/>
      <c r="D16" s="60"/>
      <c r="E16" s="67">
        <f>+'Detailed Summary'!AK37</f>
        <v>856890.67156689428</v>
      </c>
      <c r="F16" s="60">
        <f>E16*(1+$F$6)^(28/12)-E16</f>
        <v>29297.795451241545</v>
      </c>
      <c r="G16" s="60">
        <f>SUM(E16:F16)/$G$7</f>
        <v>928380.5792010877</v>
      </c>
      <c r="H16" s="58">
        <f t="shared" si="0"/>
        <v>13088.674240930239</v>
      </c>
      <c r="I16" s="58">
        <f t="shared" ref="I16:I19" si="2">+G16-H16</f>
        <v>915291.90496015747</v>
      </c>
      <c r="J16" s="137">
        <v>915291.90496015747</v>
      </c>
      <c r="K16" s="140">
        <f t="shared" si="1"/>
        <v>0</v>
      </c>
    </row>
    <row r="17" spans="1:14" x14ac:dyDescent="0.3">
      <c r="A17" t="s">
        <v>526</v>
      </c>
      <c r="B17" s="96" t="s">
        <v>547</v>
      </c>
      <c r="C17" s="60"/>
      <c r="D17" s="60"/>
      <c r="E17" s="67">
        <f>+'Detailed Summary'!AP41</f>
        <v>-722630.37767299998</v>
      </c>
      <c r="F17" s="99" t="s">
        <v>550</v>
      </c>
      <c r="G17" s="60">
        <f>SUM(E17:F17)/$G$6</f>
        <v>-958272.44727535045</v>
      </c>
      <c r="H17" s="58">
        <f t="shared" si="0"/>
        <v>-13510.101543958881</v>
      </c>
      <c r="I17" s="58">
        <f t="shared" si="2"/>
        <v>-944762.34573139157</v>
      </c>
      <c r="J17" s="137">
        <v>-944762.34573139157</v>
      </c>
      <c r="K17" s="140">
        <f t="shared" si="1"/>
        <v>0</v>
      </c>
    </row>
    <row r="18" spans="1:14" x14ac:dyDescent="0.3">
      <c r="A18" s="85" t="s">
        <v>574</v>
      </c>
      <c r="B18" s="112" t="s">
        <v>547</v>
      </c>
      <c r="C18" s="113">
        <v>-3699965.5487734084</v>
      </c>
      <c r="D18" s="113">
        <f>-C18*$D$1</f>
        <v>280087.39204214705</v>
      </c>
      <c r="E18" s="114"/>
      <c r="F18" s="113"/>
      <c r="G18" s="113">
        <f>-D18/$G$6+SUM(E18:F18)/$G$6</f>
        <v>-371420.90744578885</v>
      </c>
      <c r="H18" s="113">
        <f t="shared" si="0"/>
        <v>-5236.4379143003025</v>
      </c>
      <c r="I18" s="113">
        <f t="shared" ref="I18" si="3">+G18-H18</f>
        <v>-366184.46953148855</v>
      </c>
      <c r="J18" s="138">
        <v>-366184.46953148849</v>
      </c>
      <c r="K18" s="140">
        <f t="shared" si="1"/>
        <v>0</v>
      </c>
    </row>
    <row r="19" spans="1:14" x14ac:dyDescent="0.3">
      <c r="A19" s="85" t="s">
        <v>564</v>
      </c>
      <c r="B19" s="112" t="s">
        <v>547</v>
      </c>
      <c r="C19" s="113">
        <f>C59</f>
        <v>3308823.3267465685</v>
      </c>
      <c r="D19" s="113">
        <f>-C19*$D$1</f>
        <v>-250477.92583471525</v>
      </c>
      <c r="E19" s="114">
        <f>E59</f>
        <v>2065892.0664164524</v>
      </c>
      <c r="F19" s="113">
        <f>F59</f>
        <v>70634.545566396555</v>
      </c>
      <c r="G19" s="113">
        <f>-D19/$G$6+SUM(E19:F19)/$G$6</f>
        <v>3165381.2942069313</v>
      </c>
      <c r="H19" s="113">
        <f t="shared" si="0"/>
        <v>44626.789418474771</v>
      </c>
      <c r="I19" s="113">
        <f t="shared" si="2"/>
        <v>3120754.5047884565</v>
      </c>
      <c r="J19" s="138">
        <v>3120754.5047884565</v>
      </c>
      <c r="K19" s="140">
        <f t="shared" si="1"/>
        <v>0</v>
      </c>
    </row>
    <row r="20" spans="1:14" x14ac:dyDescent="0.3">
      <c r="A20" s="85" t="s">
        <v>568</v>
      </c>
      <c r="B20" s="112" t="s">
        <v>547</v>
      </c>
      <c r="C20" s="113">
        <f>C64</f>
        <v>6800333.9793418013</v>
      </c>
      <c r="D20" s="113">
        <f>-C20*$D$1</f>
        <v>-514785.28223617439</v>
      </c>
      <c r="E20" s="114">
        <f>E64</f>
        <v>3593326.1607114412</v>
      </c>
      <c r="F20" s="113">
        <f>F64</f>
        <v>122858.77106540557</v>
      </c>
      <c r="G20" s="113">
        <f>-D20/$G$6+SUM(E20:F20)/$G$6</f>
        <v>5610644.5377889331</v>
      </c>
      <c r="H20" s="113">
        <f t="shared" si="0"/>
        <v>79101.071566973813</v>
      </c>
      <c r="I20" s="113">
        <f t="shared" ref="I20" si="4">+G20-H20</f>
        <v>5531543.4662219593</v>
      </c>
      <c r="J20" s="138">
        <v>5531543.4662219593</v>
      </c>
      <c r="K20" s="140">
        <f t="shared" si="1"/>
        <v>0</v>
      </c>
    </row>
    <row r="21" spans="1:14" x14ac:dyDescent="0.3">
      <c r="A21" s="123" t="s">
        <v>576</v>
      </c>
      <c r="B21" s="121"/>
      <c r="C21" s="122"/>
      <c r="D21" s="122"/>
      <c r="E21" s="122"/>
      <c r="F21" s="122"/>
      <c r="G21" s="122"/>
      <c r="H21" s="122"/>
      <c r="I21" s="122"/>
      <c r="J21" s="139"/>
      <c r="K21" s="140">
        <f t="shared" si="1"/>
        <v>0</v>
      </c>
    </row>
    <row r="22" spans="1:14" x14ac:dyDescent="0.3">
      <c r="A22" s="143" t="s">
        <v>626</v>
      </c>
      <c r="B22" s="160" t="s">
        <v>547</v>
      </c>
      <c r="C22" s="144"/>
      <c r="D22" s="144"/>
      <c r="E22" s="145">
        <f>(+E66-SUM(C18:C20)*D5)*D6</f>
        <v>-1267697.6229108742</v>
      </c>
      <c r="F22" s="144"/>
      <c r="G22" s="146">
        <f>SUM(E22:F22)/G6</f>
        <v>-1681080.3158093377</v>
      </c>
      <c r="H22" s="147">
        <f>G22-G22/H5</f>
        <v>-22697.360428556567</v>
      </c>
      <c r="I22" s="148">
        <f t="shared" ref="I22:I23" si="5">+G22-H22</f>
        <v>-1658382.9553807811</v>
      </c>
      <c r="J22" s="137">
        <v>-1658382.9553807811</v>
      </c>
      <c r="K22" s="140">
        <f t="shared" si="1"/>
        <v>0</v>
      </c>
    </row>
    <row r="23" spans="1:14" x14ac:dyDescent="0.3">
      <c r="A23" s="149" t="s">
        <v>580</v>
      </c>
      <c r="B23" s="160" t="s">
        <v>547</v>
      </c>
      <c r="C23" s="144"/>
      <c r="D23" s="144"/>
      <c r="E23" s="145">
        <f>+'Track diffs for impact'!$D$32</f>
        <v>-519478.63142266311</v>
      </c>
      <c r="F23" s="144">
        <f>F67</f>
        <v>0</v>
      </c>
      <c r="G23" s="144">
        <f>-D23/$G$6+SUM(E23:F23)/$G$7</f>
        <v>-544211.40724785649</v>
      </c>
      <c r="H23" s="144">
        <f>G23-G23/$H$6</f>
        <v>-7672.5062837861478</v>
      </c>
      <c r="I23" s="144">
        <f t="shared" si="5"/>
        <v>-536538.90096407034</v>
      </c>
      <c r="J23" s="137">
        <v>-536538.90096407034</v>
      </c>
      <c r="K23" s="140">
        <f t="shared" si="1"/>
        <v>0</v>
      </c>
      <c r="L23" s="151" t="s">
        <v>581</v>
      </c>
    </row>
    <row r="24" spans="1:14" ht="14.1" hidden="1" customHeight="1" outlineLevel="1" x14ac:dyDescent="0.3">
      <c r="A24" s="150" t="s">
        <v>700</v>
      </c>
      <c r="B24" s="160"/>
      <c r="C24" s="144"/>
      <c r="D24" s="144"/>
      <c r="E24" s="145"/>
      <c r="F24" s="144"/>
      <c r="G24" s="144"/>
      <c r="H24" s="144"/>
      <c r="I24" s="144"/>
      <c r="J24" s="137"/>
      <c r="K24" s="140">
        <f t="shared" si="1"/>
        <v>0</v>
      </c>
      <c r="L24" s="152"/>
    </row>
    <row r="25" spans="1:14" ht="14.1" hidden="1" customHeight="1" outlineLevel="1" x14ac:dyDescent="0.3">
      <c r="A25" s="150" t="s">
        <v>700</v>
      </c>
      <c r="B25" s="160"/>
      <c r="C25" s="144"/>
      <c r="D25" s="144"/>
      <c r="E25" s="145"/>
      <c r="F25" s="144"/>
      <c r="G25" s="144"/>
      <c r="H25" s="144"/>
      <c r="I25" s="144"/>
      <c r="J25" s="137"/>
      <c r="K25" s="140">
        <f t="shared" si="1"/>
        <v>0</v>
      </c>
      <c r="L25" s="152"/>
    </row>
    <row r="26" spans="1:14" collapsed="1" x14ac:dyDescent="0.3">
      <c r="A26" s="149" t="s">
        <v>618</v>
      </c>
      <c r="B26" s="160" t="s">
        <v>547</v>
      </c>
      <c r="C26" s="144">
        <f>+'Track diffs for impact'!$F$51</f>
        <v>-4796329.743288517</v>
      </c>
      <c r="D26" s="144">
        <f>-C26*$D$1</f>
        <v>363082.16156694078</v>
      </c>
      <c r="E26" s="145">
        <f>+'Track diffs for impact'!$F$36</f>
        <v>28907.479362785816</v>
      </c>
      <c r="F26" s="144"/>
      <c r="G26" s="144">
        <f>-D26/$G$6+SUM(E26:F26)/$G$6</f>
        <v>-443145.48685932305</v>
      </c>
      <c r="H26" s="144">
        <f>G26-G26/$H$6</f>
        <v>-6247.6392212248174</v>
      </c>
      <c r="I26" s="144">
        <f t="shared" ref="I26" si="6">+G26-H26</f>
        <v>-436897.84763809823</v>
      </c>
      <c r="J26" s="137">
        <v>-436897.84763809823</v>
      </c>
      <c r="K26" s="140">
        <f t="shared" si="1"/>
        <v>0</v>
      </c>
      <c r="L26" s="151" t="s">
        <v>627</v>
      </c>
    </row>
    <row r="27" spans="1:14" x14ac:dyDescent="0.3">
      <c r="A27" s="149" t="s">
        <v>625</v>
      </c>
      <c r="B27" s="160" t="s">
        <v>547</v>
      </c>
      <c r="C27" s="144"/>
      <c r="D27" s="144">
        <f>-2294716022.42233*(0.0757-0.0762)</f>
        <v>1147358.0112111659</v>
      </c>
      <c r="E27" s="145">
        <f>+'Track diffs for impact'!$G$36</f>
        <v>24829.402117490768</v>
      </c>
      <c r="F27" s="144"/>
      <c r="G27" s="144">
        <f>-D27/$G$6+SUM(E27:F27)/$G$6</f>
        <v>-1488573.2327454891</v>
      </c>
      <c r="H27" s="144">
        <f>(G27-G27/$H$5)+L40</f>
        <v>-92499.798976977327</v>
      </c>
      <c r="I27" s="144">
        <f t="shared" ref="I27" si="7">+G27-H27</f>
        <v>-1396073.4337685117</v>
      </c>
      <c r="J27" s="137">
        <v>-1396073.4337685117</v>
      </c>
      <c r="K27" s="140">
        <f t="shared" si="1"/>
        <v>0</v>
      </c>
      <c r="L27" s="153">
        <f>+'Track diffs for impact'!$J$110</f>
        <v>115396166.58578552</v>
      </c>
      <c r="M27" s="154" t="s">
        <v>624</v>
      </c>
      <c r="N27" s="154"/>
    </row>
    <row r="28" spans="1:14" x14ac:dyDescent="0.3">
      <c r="A28" s="161" t="s">
        <v>703</v>
      </c>
      <c r="B28" s="162"/>
      <c r="C28" s="163"/>
      <c r="D28" s="164"/>
      <c r="E28" s="165"/>
      <c r="F28" s="164">
        <f t="shared" ref="F28" si="8">$F$12*D28</f>
        <v>0</v>
      </c>
      <c r="G28" s="164"/>
      <c r="H28" s="164"/>
      <c r="I28" s="164"/>
      <c r="J28" s="164"/>
      <c r="K28" s="140">
        <f t="shared" si="1"/>
        <v>0</v>
      </c>
      <c r="L28" s="153"/>
      <c r="M28" s="154"/>
      <c r="N28" s="154"/>
    </row>
    <row r="29" spans="1:14" x14ac:dyDescent="0.3">
      <c r="A29" s="167" t="s">
        <v>706</v>
      </c>
      <c r="B29" s="179"/>
      <c r="C29" s="180"/>
      <c r="D29" s="180">
        <f>-2294716022.42233*(0.0748-0.0757)</f>
        <v>2065244.4201800923</v>
      </c>
      <c r="E29" s="181"/>
      <c r="F29" s="180"/>
      <c r="G29" s="180">
        <f>-D29/$G$6+SUM(E29:F29)/$G$6</f>
        <v>-2738698.6291950401</v>
      </c>
      <c r="H29" s="180">
        <f>G29-G29/$H$5</f>
        <v>-36976.954228451941</v>
      </c>
      <c r="I29" s="180">
        <f t="shared" ref="I29" si="9">+G29-H29</f>
        <v>-2701721.6749665882</v>
      </c>
      <c r="J29" s="137">
        <v>-2701721.6749665882</v>
      </c>
      <c r="K29" s="140">
        <f>+I29-J29</f>
        <v>0</v>
      </c>
      <c r="L29" s="153"/>
      <c r="M29" s="154"/>
      <c r="N29" s="154"/>
    </row>
    <row r="30" spans="1:14" x14ac:dyDescent="0.3">
      <c r="A30" s="167" t="s">
        <v>721</v>
      </c>
      <c r="B30" s="179"/>
      <c r="C30" s="180"/>
      <c r="D30" s="180"/>
      <c r="E30" s="181">
        <v>4555.6800161451101</v>
      </c>
      <c r="F30" s="180">
        <v>-158</v>
      </c>
      <c r="G30" s="180">
        <f>-D30/$G$6+SUM(E30:F30)/$G$7</f>
        <v>4607.056932559125</v>
      </c>
      <c r="H30" s="180">
        <f>G30-G30/$H$7</f>
        <v>62.075133795927286</v>
      </c>
      <c r="I30" s="180">
        <f t="shared" ref="I30" si="10">+G30-H30</f>
        <v>4544.9817987631977</v>
      </c>
      <c r="J30" s="137">
        <v>4544.9817987631977</v>
      </c>
      <c r="K30" s="140">
        <f t="shared" si="1"/>
        <v>0</v>
      </c>
      <c r="L30" s="153"/>
      <c r="M30" s="154"/>
      <c r="N30" s="154"/>
    </row>
    <row r="31" spans="1:14" x14ac:dyDescent="0.3">
      <c r="A31" s="167" t="s">
        <v>710</v>
      </c>
      <c r="B31" s="179"/>
      <c r="C31" s="180"/>
      <c r="D31" s="180">
        <v>725130.26308545773</v>
      </c>
      <c r="E31" s="181"/>
      <c r="F31" s="180"/>
      <c r="G31" s="180">
        <f>-D31/$G$6+SUM(E31:F31)/$G$6</f>
        <v>-961587.51869515155</v>
      </c>
      <c r="H31" s="180">
        <f>G31-G31/$H$5</f>
        <v>-12983.019484656514</v>
      </c>
      <c r="I31" s="180">
        <f t="shared" ref="I31" si="11">+G31-H31</f>
        <v>-948604.49921049504</v>
      </c>
      <c r="J31" s="137">
        <v>-948604.49921049504</v>
      </c>
      <c r="K31" s="140">
        <f t="shared" si="1"/>
        <v>0</v>
      </c>
      <c r="L31" s="153"/>
      <c r="M31" s="154"/>
      <c r="N31" s="154"/>
    </row>
    <row r="32" spans="1:14" x14ac:dyDescent="0.3">
      <c r="A32" s="167" t="s">
        <v>712</v>
      </c>
      <c r="B32" s="179"/>
      <c r="C32" s="180">
        <v>874005.7955737114</v>
      </c>
      <c r="D32" s="180">
        <f>-(C32*$D$3-C32*$D$4*$D$6)</f>
        <v>-59831.814747589553</v>
      </c>
      <c r="E32" s="181">
        <v>453090.44834855944</v>
      </c>
      <c r="F32" s="180"/>
      <c r="G32" s="180">
        <f>-D32/$G$6+SUM(E32:F32)/$G$7</f>
        <v>554004.76417366415</v>
      </c>
      <c r="H32" s="180">
        <f>G32-G32/$H$5</f>
        <v>7479.9792094009463</v>
      </c>
      <c r="I32" s="180">
        <f t="shared" ref="I32" si="12">+G32-H32</f>
        <v>546524.78496426321</v>
      </c>
      <c r="J32" s="137">
        <v>546524.78496426321</v>
      </c>
      <c r="K32" s="140">
        <f t="shared" si="1"/>
        <v>0</v>
      </c>
      <c r="L32" s="153"/>
      <c r="M32" s="154"/>
      <c r="N32" s="154"/>
    </row>
    <row r="33" spans="1:16" x14ac:dyDescent="0.3">
      <c r="A33" s="167" t="s">
        <v>715</v>
      </c>
      <c r="B33" s="179"/>
      <c r="C33" s="180">
        <v>459269.23882865906</v>
      </c>
      <c r="D33" s="180">
        <f>-(C33*$D$3-C33*$D$4*$D$6)</f>
        <v>-31440.194282493507</v>
      </c>
      <c r="E33" s="181">
        <v>232541.38674901426</v>
      </c>
      <c r="F33" s="180"/>
      <c r="G33" s="180">
        <f>-D33/$G$6+SUM(E33:F33)/$G$7</f>
        <v>285305.36719266436</v>
      </c>
      <c r="H33" s="180">
        <f>G33-G33/$H$5</f>
        <v>3852.0936153225484</v>
      </c>
      <c r="I33" s="180">
        <f t="shared" ref="I33" si="13">+G33-H33</f>
        <v>281453.27357734181</v>
      </c>
      <c r="J33" s="137">
        <v>281453</v>
      </c>
      <c r="K33" s="140">
        <f t="shared" si="1"/>
        <v>0.27357734180986881</v>
      </c>
      <c r="L33" s="153"/>
      <c r="M33" s="154"/>
      <c r="N33" s="154"/>
    </row>
    <row r="34" spans="1:16" x14ac:dyDescent="0.3">
      <c r="A34" s="183"/>
      <c r="B34" s="179"/>
      <c r="C34" s="180"/>
      <c r="D34" s="180"/>
      <c r="E34" s="181"/>
      <c r="F34" s="180"/>
      <c r="G34" s="180"/>
      <c r="H34" s="180"/>
      <c r="I34" s="180"/>
      <c r="J34" s="137"/>
      <c r="K34" s="140">
        <f t="shared" si="1"/>
        <v>0</v>
      </c>
      <c r="L34" s="153"/>
      <c r="M34" s="154"/>
      <c r="N34" s="154"/>
    </row>
    <row r="35" spans="1:16" x14ac:dyDescent="0.3">
      <c r="A35" s="183"/>
      <c r="B35" s="179"/>
      <c r="C35" s="180"/>
      <c r="D35" s="180"/>
      <c r="E35" s="181"/>
      <c r="F35" s="180"/>
      <c r="G35" s="180"/>
      <c r="H35" s="180"/>
      <c r="I35" s="180"/>
      <c r="J35" s="137"/>
      <c r="K35" s="140">
        <f t="shared" si="1"/>
        <v>0</v>
      </c>
      <c r="L35" s="153"/>
      <c r="M35" s="154"/>
      <c r="N35" s="154"/>
    </row>
    <row r="36" spans="1:16" x14ac:dyDescent="0.3">
      <c r="A36" s="149"/>
      <c r="B36" s="160"/>
      <c r="C36" s="144"/>
      <c r="D36" s="144"/>
      <c r="E36" s="145"/>
      <c r="F36" s="144"/>
      <c r="G36" s="144"/>
      <c r="H36" s="144"/>
      <c r="I36" s="144"/>
      <c r="J36" s="137"/>
      <c r="K36" s="140">
        <f t="shared" si="1"/>
        <v>0</v>
      </c>
      <c r="L36" s="153"/>
      <c r="M36" s="154"/>
      <c r="N36" s="154"/>
    </row>
    <row r="37" spans="1:16" x14ac:dyDescent="0.3">
      <c r="A37" s="149"/>
      <c r="B37" s="160"/>
      <c r="C37" s="144"/>
      <c r="D37" s="144"/>
      <c r="E37" s="145"/>
      <c r="F37" s="144"/>
      <c r="G37" s="144"/>
      <c r="H37" s="144"/>
      <c r="I37" s="144"/>
      <c r="J37" s="137"/>
      <c r="K37" s="140">
        <f t="shared" si="1"/>
        <v>0</v>
      </c>
      <c r="L37" s="153"/>
      <c r="M37" s="154"/>
      <c r="N37" s="154"/>
    </row>
    <row r="38" spans="1:16" x14ac:dyDescent="0.3">
      <c r="A38" s="149"/>
      <c r="B38" s="160"/>
      <c r="C38" s="144"/>
      <c r="D38" s="144"/>
      <c r="E38" s="145"/>
      <c r="F38" s="144"/>
      <c r="G38" s="144"/>
      <c r="H38" s="144"/>
      <c r="I38" s="144"/>
      <c r="J38" s="137"/>
      <c r="K38" s="140">
        <f t="shared" si="1"/>
        <v>0</v>
      </c>
      <c r="L38" s="153"/>
      <c r="M38" s="154"/>
      <c r="N38" s="154"/>
    </row>
    <row r="39" spans="1:16" x14ac:dyDescent="0.3">
      <c r="A39" s="133"/>
      <c r="B39" s="130"/>
      <c r="C39" s="144"/>
      <c r="D39" s="144"/>
      <c r="E39" s="145"/>
      <c r="F39" s="144"/>
      <c r="G39" s="144"/>
      <c r="H39" s="144"/>
      <c r="I39" s="144"/>
      <c r="J39" s="137"/>
      <c r="K39" s="140">
        <f t="shared" si="1"/>
        <v>0</v>
      </c>
      <c r="L39" s="155">
        <f>+'Track diffs for impact'!$G$111</f>
        <v>-6.2741774030672381E-4</v>
      </c>
      <c r="M39" s="154" t="s">
        <v>628</v>
      </c>
      <c r="N39" s="154"/>
    </row>
    <row r="40" spans="1:16" ht="15" thickBot="1" x14ac:dyDescent="0.35">
      <c r="A40" s="133"/>
      <c r="B40" s="130"/>
      <c r="C40" s="144"/>
      <c r="D40" s="144"/>
      <c r="E40" s="145"/>
      <c r="F40" s="144"/>
      <c r="G40" s="144"/>
      <c r="H40" s="144"/>
      <c r="I40" s="144"/>
      <c r="J40" s="137"/>
      <c r="K40" s="140">
        <f t="shared" si="1"/>
        <v>0</v>
      </c>
      <c r="L40" s="156">
        <f>+L27*L39</f>
        <v>-72401.602079311822</v>
      </c>
      <c r="M40" s="154"/>
      <c r="N40" s="154"/>
    </row>
    <row r="41" spans="1:16" ht="15" thickTop="1" x14ac:dyDescent="0.3">
      <c r="A41" s="133"/>
      <c r="B41" s="130"/>
      <c r="C41" s="144"/>
      <c r="D41" s="144"/>
      <c r="E41" s="145"/>
      <c r="F41" s="144"/>
      <c r="G41" s="144"/>
      <c r="H41" s="144"/>
      <c r="I41" s="144"/>
      <c r="J41" s="137"/>
      <c r="K41" s="140"/>
    </row>
    <row r="42" spans="1:16" x14ac:dyDescent="0.3">
      <c r="A42" s="108" t="s">
        <v>558</v>
      </c>
      <c r="B42" s="104"/>
      <c r="C42" s="109"/>
      <c r="D42" s="109"/>
      <c r="E42" s="109"/>
      <c r="F42" s="110"/>
      <c r="G42" s="109"/>
      <c r="H42" s="111"/>
      <c r="I42" s="109"/>
      <c r="K42" s="60"/>
    </row>
    <row r="43" spans="1:16" x14ac:dyDescent="0.3">
      <c r="A43" s="108" t="s">
        <v>559</v>
      </c>
      <c r="B43" s="104"/>
      <c r="C43" s="109"/>
      <c r="D43" s="109"/>
      <c r="E43" s="109"/>
      <c r="F43" s="110"/>
      <c r="G43" s="109"/>
      <c r="H43" s="111"/>
      <c r="I43" s="109"/>
      <c r="K43" s="60"/>
    </row>
    <row r="44" spans="1:16" x14ac:dyDescent="0.3">
      <c r="A44" s="98"/>
      <c r="B44" s="97"/>
      <c r="C44" s="58"/>
      <c r="D44" s="60"/>
      <c r="E44" s="67"/>
      <c r="F44" s="99"/>
      <c r="G44" s="58"/>
      <c r="H44" s="99"/>
      <c r="I44" s="58"/>
      <c r="J44" s="58"/>
    </row>
    <row r="45" spans="1:16" x14ac:dyDescent="0.3">
      <c r="A45" s="98" t="s">
        <v>549</v>
      </c>
      <c r="B45" s="97" t="s">
        <v>548</v>
      </c>
      <c r="C45" s="60"/>
      <c r="D45" s="60"/>
      <c r="E45" s="67">
        <v>39045.280462313443</v>
      </c>
      <c r="F45" s="99" t="s">
        <v>550</v>
      </c>
      <c r="G45" s="58">
        <f>D45/$G$6+SUM(E45:F45)/$G$6</f>
        <v>51777.53055948166</v>
      </c>
      <c r="H45" s="99" t="s">
        <v>550</v>
      </c>
      <c r="I45" s="58">
        <f>SUM(G45:H45)</f>
        <v>51777.53055948166</v>
      </c>
    </row>
    <row r="46" spans="1:16" x14ac:dyDescent="0.3">
      <c r="A46" s="108" t="s">
        <v>560</v>
      </c>
      <c r="B46" s="104"/>
      <c r="C46" s="109"/>
      <c r="D46" s="109"/>
      <c r="E46" s="109"/>
      <c r="F46" s="109"/>
      <c r="G46" s="109"/>
      <c r="H46" s="110"/>
      <c r="I46" s="109"/>
      <c r="J46" s="60"/>
    </row>
    <row r="47" spans="1:16" x14ac:dyDescent="0.3">
      <c r="A47" s="98"/>
      <c r="B47" s="97"/>
      <c r="C47" s="60"/>
      <c r="D47" s="60"/>
      <c r="E47" s="67"/>
      <c r="F47" s="99"/>
      <c r="G47" s="58"/>
      <c r="H47" s="99"/>
      <c r="I47" s="58"/>
    </row>
    <row r="48" spans="1:16" x14ac:dyDescent="0.3">
      <c r="A48" s="98" t="s">
        <v>549</v>
      </c>
      <c r="B48" s="97" t="s">
        <v>548</v>
      </c>
      <c r="C48" s="60">
        <f t="shared" ref="C48:E48" si="14">-C45</f>
        <v>0</v>
      </c>
      <c r="D48" s="60">
        <f t="shared" si="14"/>
        <v>0</v>
      </c>
      <c r="E48" s="67">
        <f t="shared" si="14"/>
        <v>-39045.280462313443</v>
      </c>
      <c r="F48" s="99"/>
      <c r="G48" s="58">
        <f>-G45</f>
        <v>-51777.53055948166</v>
      </c>
      <c r="H48" s="99"/>
      <c r="I48" s="58">
        <f>-I45</f>
        <v>-51777.53055948166</v>
      </c>
      <c r="O48" s="665">
        <v>-51777.53055948166</v>
      </c>
      <c r="P48" s="665">
        <f>+I48-O48</f>
        <v>0</v>
      </c>
    </row>
    <row r="49" spans="1:16" x14ac:dyDescent="0.3">
      <c r="A49" s="61" t="s">
        <v>527</v>
      </c>
      <c r="B49" s="96"/>
      <c r="C49" s="62">
        <f>SUM(C15:C17)</f>
        <v>0</v>
      </c>
      <c r="D49" s="62">
        <f>SUM(D15:D17)</f>
        <v>0</v>
      </c>
      <c r="E49" s="62">
        <f>SUM(E15:E17)</f>
        <v>42302.017227227683</v>
      </c>
      <c r="F49" s="62">
        <f>SUM(F15:F17)</f>
        <v>26153.666486805334</v>
      </c>
      <c r="G49" s="62">
        <f>SUM(G15:G17)</f>
        <v>-129522.17213396693</v>
      </c>
      <c r="H49" s="62">
        <f>SUM(H15:H48)</f>
        <v>-51017.76207640276</v>
      </c>
      <c r="I49" s="62">
        <f>SUM(I15:I48)</f>
        <v>1312721.1122392011</v>
      </c>
      <c r="J49" s="63"/>
      <c r="K49" s="100"/>
      <c r="O49" s="666">
        <v>1312721.1122392011</v>
      </c>
      <c r="P49" s="666">
        <f t="shared" ref="P49:P53" si="15">+I49-O49</f>
        <v>0</v>
      </c>
    </row>
    <row r="50" spans="1:16" x14ac:dyDescent="0.3">
      <c r="A50" s="61" t="s">
        <v>528</v>
      </c>
      <c r="B50" s="96"/>
      <c r="C50" s="57"/>
      <c r="D50" s="57"/>
      <c r="E50" s="57"/>
      <c r="F50" s="57"/>
      <c r="G50" s="57"/>
      <c r="I50" s="60">
        <f>+'COC, Def, ConvF'!V34</f>
        <v>-1312728.1266100109</v>
      </c>
      <c r="J50" s="60"/>
      <c r="K50" s="84"/>
      <c r="L50" s="60">
        <v>-1428799.0094156116</v>
      </c>
      <c r="M50" t="s">
        <v>722</v>
      </c>
      <c r="O50" s="667">
        <v>-1312728.1266100109</v>
      </c>
      <c r="P50" s="667">
        <f t="shared" si="15"/>
        <v>0</v>
      </c>
    </row>
    <row r="51" spans="1:16" ht="15" thickBot="1" x14ac:dyDescent="0.35">
      <c r="A51" s="64" t="s">
        <v>529</v>
      </c>
      <c r="B51" s="97"/>
      <c r="C51" s="57"/>
      <c r="D51" s="57"/>
      <c r="E51" s="57"/>
      <c r="F51" s="57"/>
      <c r="G51" s="57"/>
      <c r="I51" s="65">
        <f>SUM(I49:I50)</f>
        <v>-7.0143708097748458</v>
      </c>
      <c r="J51" s="63"/>
      <c r="O51" s="668">
        <v>-7.0143708097748458</v>
      </c>
      <c r="P51" s="668">
        <f t="shared" si="15"/>
        <v>0</v>
      </c>
    </row>
    <row r="52" spans="1:16" ht="15" thickTop="1" x14ac:dyDescent="0.3">
      <c r="A52" s="57"/>
      <c r="B52" s="97"/>
      <c r="C52" s="57"/>
      <c r="D52" s="57"/>
      <c r="E52" s="57"/>
      <c r="F52" s="57"/>
      <c r="G52" s="57"/>
      <c r="H52" s="57"/>
      <c r="I52" s="57"/>
      <c r="O52" s="669"/>
      <c r="P52" s="669">
        <f t="shared" si="15"/>
        <v>0</v>
      </c>
    </row>
    <row r="53" spans="1:16" x14ac:dyDescent="0.3">
      <c r="A53" s="103" t="s">
        <v>563</v>
      </c>
      <c r="B53" s="104"/>
      <c r="C53" s="105"/>
      <c r="D53" s="105"/>
      <c r="E53" s="105"/>
      <c r="F53" s="105"/>
      <c r="G53" s="105"/>
      <c r="H53" s="105"/>
      <c r="I53" s="115">
        <f>+I12+I51</f>
        <v>65472802.991079934</v>
      </c>
      <c r="J53" s="101">
        <f>'COC, Def, ConvF'!C36-I53</f>
        <v>7.0143708065152168</v>
      </c>
      <c r="K53" s="85" t="s">
        <v>561</v>
      </c>
      <c r="L53" s="185">
        <f>SUM(I12:I29,L50)</f>
        <v>65472813.567144454</v>
      </c>
      <c r="M53" t="s">
        <v>722</v>
      </c>
      <c r="O53" s="670">
        <v>65472802.991079934</v>
      </c>
      <c r="P53" s="670">
        <f t="shared" si="15"/>
        <v>0</v>
      </c>
    </row>
    <row r="54" spans="1:16" x14ac:dyDescent="0.3">
      <c r="B54" s="97"/>
      <c r="L54" s="185"/>
    </row>
    <row r="56" spans="1:16" x14ac:dyDescent="0.3">
      <c r="A56" s="116" t="s">
        <v>565</v>
      </c>
      <c r="C56" s="117"/>
      <c r="D56" s="117"/>
      <c r="E56" s="117"/>
      <c r="F56" s="117"/>
      <c r="G56" s="117"/>
      <c r="H56" s="117"/>
      <c r="J56" s="63"/>
    </row>
    <row r="57" spans="1:16" x14ac:dyDescent="0.3">
      <c r="A57" s="118" t="s">
        <v>566</v>
      </c>
      <c r="C57" s="117">
        <v>0</v>
      </c>
      <c r="D57" s="117">
        <v>0</v>
      </c>
      <c r="E57" s="117">
        <v>2065892.0664164524</v>
      </c>
      <c r="F57" s="117">
        <v>70634.545566396555</v>
      </c>
      <c r="G57" s="117">
        <v>2833225.1845357413</v>
      </c>
      <c r="H57" s="117">
        <v>2794971.9657074003</v>
      </c>
    </row>
    <row r="58" spans="1:16" x14ac:dyDescent="0.3">
      <c r="A58" s="118" t="s">
        <v>516</v>
      </c>
      <c r="C58" s="117">
        <v>3308823.3267465685</v>
      </c>
      <c r="D58" s="117">
        <v>-250477.92583471525</v>
      </c>
      <c r="E58" s="117">
        <v>0</v>
      </c>
      <c r="F58" s="117">
        <v>0</v>
      </c>
      <c r="G58" s="117">
        <v>332156.10967118986</v>
      </c>
      <c r="H58" s="117">
        <v>327671.45366228017</v>
      </c>
    </row>
    <row r="59" spans="1:16" ht="15" thickBot="1" x14ac:dyDescent="0.35">
      <c r="A59" s="85" t="s">
        <v>567</v>
      </c>
      <c r="C59" s="119">
        <v>3308823.3267465685</v>
      </c>
      <c r="D59" s="119">
        <v>-250477.92583471525</v>
      </c>
      <c r="E59" s="119">
        <v>2065892.0664164524</v>
      </c>
      <c r="F59" s="119">
        <v>70634.545566396555</v>
      </c>
      <c r="G59" s="119">
        <v>3165381.2942069313</v>
      </c>
      <c r="H59" s="119">
        <v>3122643.4193696803</v>
      </c>
    </row>
    <row r="60" spans="1:16" ht="15" thickTop="1" x14ac:dyDescent="0.3">
      <c r="C60" s="117"/>
      <c r="D60" s="117"/>
      <c r="E60" s="117"/>
      <c r="F60" s="117"/>
      <c r="G60" s="117"/>
      <c r="H60" s="117"/>
    </row>
    <row r="61" spans="1:16" x14ac:dyDescent="0.3">
      <c r="A61" s="116" t="s">
        <v>571</v>
      </c>
      <c r="C61" s="117"/>
      <c r="D61" s="117"/>
      <c r="E61" s="117"/>
      <c r="F61" s="117"/>
      <c r="G61" s="117"/>
      <c r="H61" s="117"/>
    </row>
    <row r="62" spans="1:16" x14ac:dyDescent="0.3">
      <c r="A62" s="118" t="s">
        <v>566</v>
      </c>
      <c r="C62" s="117">
        <v>0</v>
      </c>
      <c r="D62" s="117">
        <v>0</v>
      </c>
      <c r="E62" s="117">
        <v>3593326.1607114412</v>
      </c>
      <c r="F62" s="117">
        <v>122858.77106540557</v>
      </c>
      <c r="G62" s="117">
        <v>4927993.2578658275</v>
      </c>
      <c r="H62" s="117">
        <v>4861457.2107112771</v>
      </c>
    </row>
    <row r="63" spans="1:16" x14ac:dyDescent="0.3">
      <c r="A63" s="118" t="s">
        <v>516</v>
      </c>
      <c r="C63" s="117">
        <v>6800333.9793418013</v>
      </c>
      <c r="D63" s="117">
        <v>-514785.28223617439</v>
      </c>
      <c r="E63" s="117">
        <v>0</v>
      </c>
      <c r="F63" s="117">
        <v>0</v>
      </c>
      <c r="G63" s="117">
        <v>682651.27992310585</v>
      </c>
      <c r="H63" s="117">
        <v>673434.36030200461</v>
      </c>
    </row>
    <row r="64" spans="1:16" ht="15" thickBot="1" x14ac:dyDescent="0.35">
      <c r="A64" s="85" t="s">
        <v>567</v>
      </c>
      <c r="C64" s="119">
        <v>6800333.9793418013</v>
      </c>
      <c r="D64" s="119">
        <v>-514785.28223617439</v>
      </c>
      <c r="E64" s="119">
        <v>3593326.1607114412</v>
      </c>
      <c r="F64" s="119">
        <v>122858.77106540557</v>
      </c>
      <c r="G64" s="119">
        <v>5610644.5377889331</v>
      </c>
      <c r="H64" s="119">
        <v>5534891.5710132821</v>
      </c>
    </row>
    <row r="65" spans="1:7" ht="15" thickTop="1" x14ac:dyDescent="0.3"/>
    <row r="66" spans="1:7" x14ac:dyDescent="0.3">
      <c r="A66" s="157" t="s">
        <v>577</v>
      </c>
      <c r="B66" s="157"/>
      <c r="C66" s="157"/>
      <c r="D66" s="157"/>
      <c r="E66" s="158">
        <v>-5852711.5437596999</v>
      </c>
      <c r="G66" s="60"/>
    </row>
  </sheetData>
  <pageMargins left="0.7" right="0.7" top="0.75" bottom="0.75" header="0.3" footer="0.3"/>
  <pageSetup scale="62" orientation="landscape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workbookViewId="0">
      <selection activeCell="B42" sqref="B42"/>
    </sheetView>
  </sheetViews>
  <sheetFormatPr defaultColWidth="9.109375" defaultRowHeight="14.4" x14ac:dyDescent="0.3"/>
  <cols>
    <col min="1" max="1" width="9.109375" style="159"/>
    <col min="2" max="2" width="40.109375" style="159" bestFit="1" customWidth="1"/>
    <col min="3" max="3" width="12.33203125" style="159" bestFit="1" customWidth="1"/>
    <col min="4" max="4" width="12.109375" style="159" bestFit="1" customWidth="1"/>
    <col min="5" max="8" width="13.44140625" style="159" bestFit="1" customWidth="1"/>
    <col min="9" max="9" width="16" style="159" bestFit="1" customWidth="1"/>
    <col min="10" max="10" width="16.44140625" style="159" customWidth="1"/>
    <col min="11" max="11" width="9.109375" style="159"/>
    <col min="12" max="12" width="8.6640625" style="159"/>
    <col min="13" max="16384" width="9.109375" style="159"/>
  </cols>
  <sheetData>
    <row r="1" spans="1:10" x14ac:dyDescent="0.3">
      <c r="A1" s="196"/>
    </row>
    <row r="2" spans="1:10" x14ac:dyDescent="0.3">
      <c r="A2" s="196"/>
    </row>
    <row r="4" spans="1:10" ht="43.2" x14ac:dyDescent="0.3">
      <c r="A4" s="196" t="s">
        <v>637</v>
      </c>
      <c r="B4" s="268"/>
      <c r="C4" s="197" t="s">
        <v>629</v>
      </c>
      <c r="D4" s="197" t="s">
        <v>630</v>
      </c>
      <c r="E4" s="197" t="s">
        <v>631</v>
      </c>
      <c r="F4" s="197" t="s">
        <v>632</v>
      </c>
      <c r="G4" s="197" t="s">
        <v>699</v>
      </c>
      <c r="I4" s="197"/>
    </row>
    <row r="5" spans="1:10" ht="43.2" x14ac:dyDescent="0.3">
      <c r="A5" s="269" t="s">
        <v>638</v>
      </c>
      <c r="B5" s="270"/>
      <c r="C5" s="269" t="s">
        <v>633</v>
      </c>
      <c r="D5" s="269" t="s">
        <v>633</v>
      </c>
      <c r="E5" s="269" t="s">
        <v>633</v>
      </c>
      <c r="F5" s="269" t="s">
        <v>633</v>
      </c>
      <c r="G5" s="269" t="s">
        <v>635</v>
      </c>
      <c r="I5" s="269" t="s">
        <v>633</v>
      </c>
      <c r="J5" s="269" t="s">
        <v>634</v>
      </c>
    </row>
    <row r="6" spans="1:10" x14ac:dyDescent="0.3">
      <c r="A6" s="198"/>
      <c r="B6" s="198"/>
      <c r="C6" s="271" t="s">
        <v>636</v>
      </c>
      <c r="D6" s="271" t="s">
        <v>636</v>
      </c>
      <c r="E6" s="271" t="s">
        <v>636</v>
      </c>
      <c r="F6" s="271" t="s">
        <v>636</v>
      </c>
      <c r="G6" s="271"/>
      <c r="I6" s="271" t="s">
        <v>636</v>
      </c>
      <c r="J6" s="271"/>
    </row>
    <row r="7" spans="1:10" x14ac:dyDescent="0.3">
      <c r="A7" s="272">
        <f>IF(ISBLANK(B7),"",MAX(A$6:A6)+1)</f>
        <v>1</v>
      </c>
      <c r="B7" s="273" t="s">
        <v>639</v>
      </c>
      <c r="G7" s="159" t="s">
        <v>635</v>
      </c>
      <c r="J7" s="159" t="s">
        <v>634</v>
      </c>
    </row>
    <row r="8" spans="1:10" x14ac:dyDescent="0.3">
      <c r="A8" s="272">
        <f>IF(ISBLANK(B8),"",MAX(A$6:A7)+1)</f>
        <v>2</v>
      </c>
      <c r="B8" s="159" t="s">
        <v>640</v>
      </c>
      <c r="C8" s="274">
        <v>0</v>
      </c>
      <c r="D8" s="274">
        <v>0</v>
      </c>
      <c r="E8" s="274">
        <v>0</v>
      </c>
      <c r="F8" s="274">
        <v>0</v>
      </c>
      <c r="G8" s="274">
        <v>0</v>
      </c>
      <c r="I8" s="274">
        <v>448235286.15228266</v>
      </c>
      <c r="J8" s="274">
        <v>448235286.15228266</v>
      </c>
    </row>
    <row r="9" spans="1:10" x14ac:dyDescent="0.3">
      <c r="A9" s="272">
        <f>IF(ISBLANK(B9),"",MAX(A$6:A8)+1)</f>
        <v>3</v>
      </c>
      <c r="B9" s="159" t="s">
        <v>641</v>
      </c>
      <c r="C9" s="275">
        <v>0</v>
      </c>
      <c r="D9" s="275">
        <v>0</v>
      </c>
      <c r="E9" s="275">
        <v>0</v>
      </c>
      <c r="F9" s="275">
        <v>0</v>
      </c>
      <c r="G9" s="275">
        <v>0</v>
      </c>
      <c r="I9" s="275">
        <v>0</v>
      </c>
      <c r="J9" s="275">
        <v>0</v>
      </c>
    </row>
    <row r="10" spans="1:10" x14ac:dyDescent="0.3">
      <c r="A10" s="272">
        <f>IF(ISBLANK(B10),"",MAX(A$6:A9)+1)</f>
        <v>4</v>
      </c>
      <c r="B10" s="159" t="s">
        <v>642</v>
      </c>
      <c r="C10" s="276">
        <v>0</v>
      </c>
      <c r="D10" s="276">
        <v>0</v>
      </c>
      <c r="E10" s="276">
        <v>0</v>
      </c>
      <c r="F10" s="276">
        <v>0</v>
      </c>
      <c r="G10" s="276">
        <v>0</v>
      </c>
      <c r="I10" s="276">
        <v>14959558.713321999</v>
      </c>
      <c r="J10" s="276">
        <v>14959558.713321999</v>
      </c>
    </row>
    <row r="11" spans="1:10" x14ac:dyDescent="0.3">
      <c r="A11" s="272">
        <f>IF(ISBLANK(B11),"",MAX(A$6:A10)+1)</f>
        <v>5</v>
      </c>
      <c r="B11" s="159" t="s">
        <v>643</v>
      </c>
      <c r="C11" s="277">
        <v>0</v>
      </c>
      <c r="D11" s="277">
        <v>0</v>
      </c>
      <c r="E11" s="277">
        <v>0</v>
      </c>
      <c r="F11" s="277">
        <v>0</v>
      </c>
      <c r="G11" s="277">
        <v>0</v>
      </c>
      <c r="I11" s="277">
        <v>463194844.86560464</v>
      </c>
      <c r="J11" s="277">
        <v>463194844.86560464</v>
      </c>
    </row>
    <row r="12" spans="1:10" x14ac:dyDescent="0.3">
      <c r="A12" s="272" t="str">
        <f>IF(ISBLANK(B12),"",MAX(A$6:A11)+1)</f>
        <v/>
      </c>
      <c r="C12" s="198"/>
      <c r="D12" s="198"/>
      <c r="E12" s="198"/>
      <c r="F12" s="198"/>
      <c r="G12" s="198">
        <v>0</v>
      </c>
      <c r="I12" s="198"/>
      <c r="J12" s="198">
        <v>0</v>
      </c>
    </row>
    <row r="13" spans="1:10" x14ac:dyDescent="0.3">
      <c r="A13" s="272" t="str">
        <f>IF(ISBLANK(B13),"",MAX(A$6:A12)+1)</f>
        <v/>
      </c>
      <c r="C13" s="278"/>
      <c r="D13" s="278"/>
      <c r="E13" s="278"/>
      <c r="F13" s="278"/>
      <c r="G13" s="278">
        <v>0</v>
      </c>
      <c r="I13" s="278"/>
      <c r="J13" s="278">
        <v>0</v>
      </c>
    </row>
    <row r="14" spans="1:10" x14ac:dyDescent="0.3">
      <c r="A14" s="272">
        <f>IF(ISBLANK(B14),"",MAX(A$6:A13)+1)</f>
        <v>6</v>
      </c>
      <c r="B14" s="159" t="s">
        <v>644</v>
      </c>
      <c r="C14" s="278"/>
      <c r="D14" s="278"/>
      <c r="E14" s="278"/>
      <c r="F14" s="278"/>
      <c r="G14" s="278">
        <v>0</v>
      </c>
      <c r="I14" s="278"/>
      <c r="J14" s="278">
        <v>0</v>
      </c>
    </row>
    <row r="15" spans="1:10" x14ac:dyDescent="0.3">
      <c r="A15" s="272" t="str">
        <f>IF(ISBLANK(B15),"",MAX(A$6:A14)+1)</f>
        <v/>
      </c>
      <c r="C15" s="278"/>
      <c r="D15" s="278"/>
      <c r="E15" s="278"/>
      <c r="F15" s="278"/>
      <c r="G15" s="278">
        <v>0</v>
      </c>
      <c r="I15" s="278"/>
      <c r="J15" s="278">
        <v>0</v>
      </c>
    </row>
    <row r="16" spans="1:10" x14ac:dyDescent="0.3">
      <c r="A16" s="272">
        <f>IF(ISBLANK(B16),"",MAX(A$6:A15)+1)</f>
        <v>7</v>
      </c>
      <c r="B16" s="159" t="s">
        <v>645</v>
      </c>
      <c r="C16" s="278"/>
      <c r="D16" s="278"/>
      <c r="E16" s="278"/>
      <c r="F16" s="278"/>
      <c r="G16" s="278">
        <v>0</v>
      </c>
      <c r="I16" s="278"/>
      <c r="J16" s="278">
        <v>0</v>
      </c>
    </row>
    <row r="17" spans="1:12" x14ac:dyDescent="0.3">
      <c r="A17" s="272" t="str">
        <f>IF(ISBLANK(B17),"",MAX(A$6:A16)+1)</f>
        <v/>
      </c>
      <c r="C17" s="275"/>
      <c r="D17" s="275"/>
      <c r="E17" s="275"/>
      <c r="F17" s="275"/>
      <c r="G17" s="275">
        <v>0</v>
      </c>
      <c r="I17" s="275"/>
      <c r="J17" s="275">
        <v>0</v>
      </c>
    </row>
    <row r="18" spans="1:12" x14ac:dyDescent="0.3">
      <c r="A18" s="272">
        <f>IF(ISBLANK(B18),"",MAX(A$6:A17)+1)</f>
        <v>8</v>
      </c>
      <c r="B18" s="159" t="s">
        <v>646</v>
      </c>
      <c r="C18" s="274">
        <v>0</v>
      </c>
      <c r="D18" s="274">
        <v>0</v>
      </c>
      <c r="E18" s="274">
        <v>0</v>
      </c>
      <c r="F18" s="274">
        <v>0</v>
      </c>
      <c r="G18" s="274">
        <v>0</v>
      </c>
      <c r="I18" s="274">
        <v>0</v>
      </c>
      <c r="J18" s="274">
        <v>0</v>
      </c>
    </row>
    <row r="19" spans="1:12" x14ac:dyDescent="0.3">
      <c r="A19" s="272" t="str">
        <f>IF(ISBLANK(B19),"",MAX(A$6:A18)+1)</f>
        <v/>
      </c>
      <c r="C19" s="275">
        <v>0</v>
      </c>
      <c r="D19" s="275">
        <v>0</v>
      </c>
      <c r="E19" s="275">
        <v>0</v>
      </c>
      <c r="F19" s="275">
        <v>0</v>
      </c>
      <c r="G19" s="275">
        <v>0</v>
      </c>
      <c r="I19" s="275"/>
      <c r="J19" s="275">
        <v>0</v>
      </c>
    </row>
    <row r="20" spans="1:12" x14ac:dyDescent="0.3">
      <c r="A20" s="272">
        <f>IF(ISBLANK(B20),"",MAX(A$6:A19)+1)</f>
        <v>9</v>
      </c>
      <c r="B20" s="159" t="s">
        <v>647</v>
      </c>
      <c r="C20" s="279">
        <v>0</v>
      </c>
      <c r="D20" s="279">
        <v>0</v>
      </c>
      <c r="E20" s="279">
        <v>0</v>
      </c>
      <c r="F20" s="279">
        <v>0</v>
      </c>
      <c r="G20" s="279">
        <v>0</v>
      </c>
      <c r="I20" s="279">
        <v>0</v>
      </c>
      <c r="J20" s="279">
        <v>0</v>
      </c>
    </row>
    <row r="21" spans="1:12" x14ac:dyDescent="0.3">
      <c r="A21" s="272" t="str">
        <f>IF(ISBLANK(B21),"",MAX(A$6:A20)+1)</f>
        <v/>
      </c>
      <c r="C21" s="198">
        <v>0</v>
      </c>
      <c r="D21" s="198">
        <v>0</v>
      </c>
      <c r="E21" s="198">
        <v>0</v>
      </c>
      <c r="F21" s="198">
        <v>0</v>
      </c>
      <c r="G21" s="198">
        <v>0</v>
      </c>
      <c r="I21" s="198"/>
      <c r="J21" s="198">
        <v>0</v>
      </c>
    </row>
    <row r="22" spans="1:12" x14ac:dyDescent="0.3">
      <c r="A22" s="272">
        <f>IF(ISBLANK(B22),"",MAX(A$6:A21)+1)</f>
        <v>10</v>
      </c>
      <c r="B22" s="159" t="s">
        <v>648</v>
      </c>
      <c r="C22" s="274">
        <v>0</v>
      </c>
      <c r="D22" s="274">
        <v>0</v>
      </c>
      <c r="E22" s="274">
        <v>0</v>
      </c>
      <c r="F22" s="274">
        <v>0</v>
      </c>
      <c r="G22" s="274">
        <v>0</v>
      </c>
      <c r="I22" s="274">
        <v>6881948.4002242647</v>
      </c>
      <c r="J22" s="274">
        <v>6881948.4002242647</v>
      </c>
    </row>
    <row r="23" spans="1:12" x14ac:dyDescent="0.3">
      <c r="A23" s="272">
        <f>IF(ISBLANK(B23),"",MAX(A$6:A22)+1)</f>
        <v>11</v>
      </c>
      <c r="B23" s="159" t="s">
        <v>649</v>
      </c>
      <c r="C23" s="275">
        <v>0</v>
      </c>
      <c r="D23" s="275">
        <v>0</v>
      </c>
      <c r="E23" s="275">
        <v>0</v>
      </c>
      <c r="F23" s="275">
        <v>0</v>
      </c>
      <c r="G23" s="275">
        <v>0</v>
      </c>
      <c r="I23" s="275">
        <v>2110.77</v>
      </c>
      <c r="J23" s="275">
        <v>2110.77</v>
      </c>
    </row>
    <row r="24" spans="1:12" x14ac:dyDescent="0.3">
      <c r="A24" s="272">
        <f>IF(ISBLANK(B24),"",MAX(A$6:A23)+1)</f>
        <v>12</v>
      </c>
      <c r="B24" s="159" t="s">
        <v>650</v>
      </c>
      <c r="C24" s="275">
        <v>0</v>
      </c>
      <c r="D24" s="275">
        <v>0</v>
      </c>
      <c r="E24" s="275">
        <v>0</v>
      </c>
      <c r="F24" s="275">
        <v>0</v>
      </c>
      <c r="G24" s="275">
        <v>0</v>
      </c>
      <c r="I24" s="275">
        <v>62023319.739795186</v>
      </c>
      <c r="J24" s="275">
        <v>62023319.739795186</v>
      </c>
    </row>
    <row r="25" spans="1:12" x14ac:dyDescent="0.3">
      <c r="A25" s="272">
        <f>IF(ISBLANK(B25),"",MAX(A$6:A24)+1)</f>
        <v>13</v>
      </c>
      <c r="B25" s="159" t="s">
        <v>651</v>
      </c>
      <c r="C25" s="275">
        <v>0</v>
      </c>
      <c r="D25" s="275">
        <v>0</v>
      </c>
      <c r="E25" s="275">
        <v>0</v>
      </c>
      <c r="F25" s="275">
        <v>0</v>
      </c>
      <c r="G25" s="275">
        <v>3402.5192036442459</v>
      </c>
      <c r="I25" s="275">
        <v>28876804.958916023</v>
      </c>
      <c r="J25" s="275">
        <v>28873402.439712379</v>
      </c>
      <c r="L25" s="199"/>
    </row>
    <row r="26" spans="1:12" x14ac:dyDescent="0.3">
      <c r="A26" s="272">
        <f>IF(ISBLANK(B26),"",MAX(A$6:A25)+1)</f>
        <v>14</v>
      </c>
      <c r="B26" s="159" t="s">
        <v>652</v>
      </c>
      <c r="C26" s="275">
        <v>0</v>
      </c>
      <c r="D26" s="275">
        <v>0</v>
      </c>
      <c r="E26" s="275">
        <v>0</v>
      </c>
      <c r="F26" s="275">
        <v>0</v>
      </c>
      <c r="G26" s="275">
        <v>0</v>
      </c>
      <c r="I26" s="275">
        <v>1808553.0829245392</v>
      </c>
      <c r="J26" s="275">
        <v>1808553.0829245392</v>
      </c>
    </row>
    <row r="27" spans="1:12" x14ac:dyDescent="0.3">
      <c r="A27" s="272">
        <f>IF(ISBLANK(B27),"",MAX(A$6:A26)+1)</f>
        <v>15</v>
      </c>
      <c r="B27" s="159" t="s">
        <v>653</v>
      </c>
      <c r="C27" s="275">
        <v>0</v>
      </c>
      <c r="D27" s="275">
        <v>0</v>
      </c>
      <c r="E27" s="275">
        <v>0</v>
      </c>
      <c r="F27" s="275">
        <v>0</v>
      </c>
      <c r="G27" s="275">
        <v>0</v>
      </c>
      <c r="I27" s="275">
        <v>0</v>
      </c>
      <c r="J27" s="275">
        <v>0</v>
      </c>
    </row>
    <row r="28" spans="1:12" x14ac:dyDescent="0.3">
      <c r="A28" s="272">
        <f>IF(ISBLANK(B28),"",MAX(A$6:A27)+1)</f>
        <v>16</v>
      </c>
      <c r="B28" s="159" t="s">
        <v>654</v>
      </c>
      <c r="C28" s="275">
        <v>0</v>
      </c>
      <c r="D28" s="275">
        <v>0</v>
      </c>
      <c r="E28" s="275">
        <v>0</v>
      </c>
      <c r="F28" s="275">
        <v>0</v>
      </c>
      <c r="G28" s="275">
        <v>1356.51771581918</v>
      </c>
      <c r="I28" s="275">
        <v>61927722.031384438</v>
      </c>
      <c r="J28" s="275">
        <v>61926365.513668619</v>
      </c>
      <c r="L28" s="199"/>
    </row>
    <row r="29" spans="1:12" x14ac:dyDescent="0.3">
      <c r="A29" s="272">
        <f>IF(ISBLANK(B29),"",MAX(A$6:A28)+1)</f>
        <v>17</v>
      </c>
      <c r="B29" s="159" t="s">
        <v>655</v>
      </c>
      <c r="C29" s="275">
        <v>0</v>
      </c>
      <c r="D29" s="275">
        <v>0</v>
      </c>
      <c r="E29" s="275">
        <v>2616179.6237217784</v>
      </c>
      <c r="F29" s="275">
        <v>0</v>
      </c>
      <c r="G29" s="275">
        <v>0</v>
      </c>
      <c r="I29" s="275">
        <v>135112552.94691035</v>
      </c>
      <c r="J29" s="275">
        <v>135112552.94691035</v>
      </c>
    </row>
    <row r="30" spans="1:12" x14ac:dyDescent="0.3">
      <c r="A30" s="272">
        <f>IF(ISBLANK(B30),"",MAX(A$6:A29)+1)</f>
        <v>18</v>
      </c>
      <c r="B30" s="159" t="s">
        <v>656</v>
      </c>
      <c r="C30" s="275">
        <v>0</v>
      </c>
      <c r="D30" s="275">
        <v>0</v>
      </c>
      <c r="E30" s="275">
        <v>0</v>
      </c>
      <c r="F30" s="275">
        <v>0</v>
      </c>
      <c r="G30" s="275">
        <v>0</v>
      </c>
      <c r="I30" s="275">
        <v>39655705.639344297</v>
      </c>
      <c r="J30" s="275">
        <v>39655705.639344297</v>
      </c>
    </row>
    <row r="31" spans="1:12" x14ac:dyDescent="0.3">
      <c r="A31" s="272">
        <f>IF(ISBLANK(B31),"",MAX(A$6:A30)+1)</f>
        <v>19</v>
      </c>
      <c r="B31" s="159" t="s">
        <v>657</v>
      </c>
      <c r="C31" s="275">
        <v>0</v>
      </c>
      <c r="D31" s="275">
        <v>0</v>
      </c>
      <c r="E31" s="275">
        <v>0</v>
      </c>
      <c r="F31" s="275">
        <v>0</v>
      </c>
      <c r="G31" s="275">
        <v>0</v>
      </c>
      <c r="I31" s="275">
        <v>0</v>
      </c>
      <c r="J31" s="275">
        <v>0</v>
      </c>
    </row>
    <row r="32" spans="1:12" x14ac:dyDescent="0.3">
      <c r="A32" s="272">
        <f>IF(ISBLANK(B32),"",MAX(A$6:A31)+1)</f>
        <v>20</v>
      </c>
      <c r="B32" s="159" t="s">
        <v>658</v>
      </c>
      <c r="C32" s="275">
        <v>0</v>
      </c>
      <c r="D32" s="275">
        <v>-519478.63142266311</v>
      </c>
      <c r="E32" s="275">
        <v>0</v>
      </c>
      <c r="F32" s="275">
        <v>0</v>
      </c>
      <c r="G32" s="275">
        <v>0</v>
      </c>
      <c r="I32" s="275">
        <v>15193511.542028118</v>
      </c>
      <c r="J32" s="275">
        <v>15193511.542028118</v>
      </c>
    </row>
    <row r="33" spans="1:12" x14ac:dyDescent="0.3">
      <c r="A33" s="272">
        <f>IF(ISBLANK(B33),"",MAX(A$6:A32)+1)</f>
        <v>21</v>
      </c>
      <c r="B33" s="159" t="s">
        <v>659</v>
      </c>
      <c r="C33" s="275">
        <v>0</v>
      </c>
      <c r="D33" s="275">
        <v>0</v>
      </c>
      <c r="E33" s="275">
        <v>0</v>
      </c>
      <c r="F33" s="275">
        <v>0</v>
      </c>
      <c r="G33" s="275">
        <v>26670.586014073342</v>
      </c>
      <c r="I33" s="275">
        <v>25934442.073484119</v>
      </c>
      <c r="J33" s="275">
        <v>25907771.487470046</v>
      </c>
      <c r="L33" s="199"/>
    </row>
    <row r="34" spans="1:12" x14ac:dyDescent="0.3">
      <c r="A34" s="272">
        <f>IF(ISBLANK(B34),"",MAX(A$6:A33)+1)</f>
        <v>22</v>
      </c>
      <c r="B34" s="159" t="s">
        <v>660</v>
      </c>
      <c r="C34" s="275">
        <v>-1229069.4241895378</v>
      </c>
      <c r="D34" s="275">
        <v>109090.51259875298</v>
      </c>
      <c r="E34" s="275">
        <v>-549397.72098158672</v>
      </c>
      <c r="F34" s="275">
        <v>0</v>
      </c>
      <c r="G34" s="275">
        <v>-6600.2208160497248</v>
      </c>
      <c r="I34" s="275">
        <v>17474461.472924594</v>
      </c>
      <c r="J34" s="275">
        <v>17481061.693740644</v>
      </c>
      <c r="L34" s="199"/>
    </row>
    <row r="35" spans="1:12" x14ac:dyDescent="0.3">
      <c r="A35" s="272">
        <f>IF(ISBLANK(B35),"",MAX(A$6:A34)+1)</f>
        <v>23</v>
      </c>
      <c r="B35" s="159" t="s">
        <v>661</v>
      </c>
      <c r="C35" s="276">
        <v>-38628.198721334338</v>
      </c>
      <c r="D35" s="276">
        <v>0</v>
      </c>
      <c r="E35" s="276">
        <v>28907.479362800717</v>
      </c>
      <c r="F35" s="276">
        <v>28907.479362800717</v>
      </c>
      <c r="G35" s="276">
        <v>0</v>
      </c>
      <c r="I35" s="276">
        <v>-19508916.264954448</v>
      </c>
      <c r="J35" s="276">
        <v>-19508916.264954448</v>
      </c>
    </row>
    <row r="36" spans="1:12" x14ac:dyDescent="0.3">
      <c r="A36" s="272">
        <f>IF(ISBLANK(B36),"",MAX(A$6:A35)+1)</f>
        <v>24</v>
      </c>
      <c r="B36" s="159" t="s">
        <v>662</v>
      </c>
      <c r="C36" s="279">
        <v>-1267697.6229108572</v>
      </c>
      <c r="D36" s="279">
        <v>-410388.11882388592</v>
      </c>
      <c r="E36" s="279">
        <v>2095689.3821030259</v>
      </c>
      <c r="F36" s="279">
        <v>28907.479362785816</v>
      </c>
      <c r="G36" s="279">
        <v>24829.402117490768</v>
      </c>
      <c r="I36" s="279">
        <v>375382216.39298147</v>
      </c>
      <c r="J36" s="279">
        <v>375357386.99086398</v>
      </c>
    </row>
    <row r="37" spans="1:12" x14ac:dyDescent="0.3">
      <c r="A37" s="272" t="str">
        <f>IF(ISBLANK(B37),"",MAX(A$6:A36)+1)</f>
        <v/>
      </c>
      <c r="C37" s="200">
        <v>0</v>
      </c>
      <c r="D37" s="200">
        <v>0</v>
      </c>
      <c r="E37" s="200">
        <v>0</v>
      </c>
      <c r="F37" s="200">
        <v>0</v>
      </c>
      <c r="G37" s="200">
        <v>0</v>
      </c>
      <c r="I37" s="200"/>
      <c r="J37" s="200">
        <v>0</v>
      </c>
    </row>
    <row r="38" spans="1:12" x14ac:dyDescent="0.3">
      <c r="A38" s="272">
        <f>IF(ISBLANK(B38),"",MAX(A$6:A37)+1)</f>
        <v>25</v>
      </c>
      <c r="B38" s="159" t="s">
        <v>663</v>
      </c>
      <c r="C38" s="280">
        <v>1267697.6229108572</v>
      </c>
      <c r="D38" s="280">
        <v>410388.11882388592</v>
      </c>
      <c r="E38" s="280">
        <v>-2095689.3821030259</v>
      </c>
      <c r="F38" s="280">
        <v>-28907.479362785816</v>
      </c>
      <c r="G38" s="280">
        <v>-24829.402117490768</v>
      </c>
      <c r="I38" s="280">
        <v>87812628.472623169</v>
      </c>
      <c r="J38" s="280">
        <v>87837457.87474066</v>
      </c>
    </row>
    <row r="39" spans="1:12" x14ac:dyDescent="0.3">
      <c r="A39" s="272">
        <f>IF(ISBLANK(B39),"",MAX(A$6:A38)+1)</f>
        <v>26</v>
      </c>
      <c r="B39" s="159" t="s">
        <v>664</v>
      </c>
      <c r="C39" s="200">
        <v>0</v>
      </c>
      <c r="D39" s="200">
        <v>519478.63142263889</v>
      </c>
      <c r="E39" s="200">
        <v>-2616179.623721838</v>
      </c>
      <c r="F39" s="200">
        <v>0</v>
      </c>
      <c r="G39" s="200">
        <v>-31429.62293356657</v>
      </c>
      <c r="I39" s="200">
        <v>85778173.680593312</v>
      </c>
      <c r="J39" s="200">
        <v>85809603.303526878</v>
      </c>
    </row>
    <row r="40" spans="1:12" x14ac:dyDescent="0.3">
      <c r="A40" s="272">
        <f>IF(ISBLANK(B40),"",MAX(A$6:A39)+1)</f>
        <v>27</v>
      </c>
      <c r="B40" s="159" t="s">
        <v>665</v>
      </c>
      <c r="C40" s="200">
        <v>0</v>
      </c>
      <c r="D40" s="200">
        <v>0</v>
      </c>
      <c r="E40" s="200">
        <v>-4796329.743288517</v>
      </c>
      <c r="F40" s="200">
        <v>-4796329.743288517</v>
      </c>
      <c r="G40" s="200">
        <v>0</v>
      </c>
      <c r="I40" s="200">
        <v>2294716022.4223328</v>
      </c>
      <c r="J40" s="200">
        <v>2294716022.4223328</v>
      </c>
    </row>
    <row r="41" spans="1:12" x14ac:dyDescent="0.3">
      <c r="A41" s="272" t="str">
        <f>IF(ISBLANK(B41),"",MAX(A$6:A40)+1)</f>
        <v/>
      </c>
      <c r="C41" s="198">
        <v>0</v>
      </c>
      <c r="D41" s="198">
        <v>0</v>
      </c>
      <c r="E41" s="198">
        <v>0</v>
      </c>
      <c r="F41" s="198">
        <v>0</v>
      </c>
      <c r="G41" s="198">
        <v>0</v>
      </c>
      <c r="I41" s="198"/>
      <c r="J41" s="198">
        <v>0</v>
      </c>
    </row>
    <row r="42" spans="1:12" x14ac:dyDescent="0.3">
      <c r="A42" s="272">
        <f>IF(ISBLANK(B42),"",MAX(A$6:A41)+1)</f>
        <v>28</v>
      </c>
      <c r="B42" s="159" t="s">
        <v>538</v>
      </c>
      <c r="C42" s="281">
        <v>0</v>
      </c>
      <c r="D42" s="281">
        <v>0</v>
      </c>
      <c r="E42" s="281">
        <v>0</v>
      </c>
      <c r="F42" s="281">
        <v>0</v>
      </c>
      <c r="G42" s="281">
        <v>0</v>
      </c>
      <c r="I42" s="281">
        <v>6.5199999999999994E-2</v>
      </c>
      <c r="J42" s="281">
        <v>6.5199999999999994E-2</v>
      </c>
    </row>
    <row r="43" spans="1:12" x14ac:dyDescent="0.3">
      <c r="A43" s="272" t="str">
        <f>IF(ISBLANK(B43),"",MAX(A$6:A42)+1)</f>
        <v/>
      </c>
      <c r="C43" s="282">
        <v>0</v>
      </c>
      <c r="D43" s="282">
        <v>0</v>
      </c>
      <c r="E43" s="282">
        <v>0</v>
      </c>
      <c r="F43" s="282">
        <v>0</v>
      </c>
      <c r="G43" s="282">
        <v>0</v>
      </c>
      <c r="I43" s="282"/>
      <c r="J43" s="282">
        <v>0</v>
      </c>
    </row>
    <row r="44" spans="1:12" x14ac:dyDescent="0.3">
      <c r="A44" s="272">
        <f>IF(ISBLANK(B44),"",MAX(A$6:A43)+1)</f>
        <v>29</v>
      </c>
      <c r="B44" s="159" t="s">
        <v>666</v>
      </c>
      <c r="C44" s="198">
        <v>0</v>
      </c>
      <c r="D44" s="198">
        <v>0</v>
      </c>
      <c r="E44" s="198">
        <v>0</v>
      </c>
      <c r="F44" s="198">
        <v>0</v>
      </c>
      <c r="G44" s="198">
        <v>0</v>
      </c>
      <c r="I44" s="198"/>
      <c r="J44" s="198">
        <v>0</v>
      </c>
    </row>
    <row r="45" spans="1:12" x14ac:dyDescent="0.3">
      <c r="A45" s="272">
        <f>IF(ISBLANK(B45),"",MAX(A$6:A44)+1)</f>
        <v>30</v>
      </c>
      <c r="B45" s="159" t="s">
        <v>667</v>
      </c>
      <c r="C45" s="280">
        <v>0</v>
      </c>
      <c r="D45" s="280">
        <v>0</v>
      </c>
      <c r="E45" s="280">
        <v>0</v>
      </c>
      <c r="F45" s="280">
        <v>0</v>
      </c>
      <c r="G45" s="280">
        <v>0</v>
      </c>
      <c r="I45" s="280">
        <v>4787924828.7558432</v>
      </c>
      <c r="J45" s="280">
        <v>4787924828.7558432</v>
      </c>
    </row>
    <row r="46" spans="1:12" x14ac:dyDescent="0.3">
      <c r="A46" s="272">
        <f>IF(ISBLANK(B46),"",MAX(A$6:A45)+1)</f>
        <v>31</v>
      </c>
      <c r="B46" s="159" t="s">
        <v>668</v>
      </c>
      <c r="C46" s="283">
        <v>0</v>
      </c>
      <c r="D46" s="283">
        <v>0</v>
      </c>
      <c r="E46" s="283">
        <v>-4796329.3101565838</v>
      </c>
      <c r="F46" s="283">
        <v>-4796329.3101565838</v>
      </c>
      <c r="G46" s="283">
        <v>0</v>
      </c>
      <c r="I46" s="283">
        <v>-1926191831.0127208</v>
      </c>
      <c r="J46" s="283">
        <v>-1926191831.0127208</v>
      </c>
    </row>
    <row r="47" spans="1:12" x14ac:dyDescent="0.3">
      <c r="A47" s="272">
        <f>IF(ISBLANK(B47),"",MAX(A$6:A46)+1)</f>
        <v>32</v>
      </c>
      <c r="B47" s="159" t="s">
        <v>669</v>
      </c>
      <c r="C47" s="284">
        <v>0</v>
      </c>
      <c r="D47" s="284">
        <v>0</v>
      </c>
      <c r="E47" s="284">
        <v>-0.43313169479370117</v>
      </c>
      <c r="F47" s="284">
        <v>-0.43313169479370117</v>
      </c>
      <c r="G47" s="284">
        <v>0</v>
      </c>
      <c r="I47" s="284">
        <v>-604292714.86498225</v>
      </c>
      <c r="J47" s="284">
        <v>-604292714.86498225</v>
      </c>
    </row>
    <row r="48" spans="1:12" x14ac:dyDescent="0.3">
      <c r="A48" s="272">
        <f>IF(ISBLANK(B48),"",MAX(A$6:A47)+1)</f>
        <v>33</v>
      </c>
      <c r="B48" s="159" t="s">
        <v>670</v>
      </c>
      <c r="C48" s="285">
        <v>0</v>
      </c>
      <c r="D48" s="285">
        <v>0</v>
      </c>
      <c r="E48" s="285">
        <v>0</v>
      </c>
      <c r="F48" s="285">
        <v>0</v>
      </c>
      <c r="G48" s="285">
        <v>0</v>
      </c>
      <c r="I48" s="285">
        <v>-17156060.508973658</v>
      </c>
      <c r="J48" s="285">
        <v>-17156060.508973658</v>
      </c>
    </row>
    <row r="49" spans="1:10" x14ac:dyDescent="0.3">
      <c r="A49" s="272">
        <f>IF(ISBLANK(B49),"",MAX(A$6:A48)+1)</f>
        <v>34</v>
      </c>
      <c r="B49" s="159" t="s">
        <v>671</v>
      </c>
      <c r="C49" s="286">
        <v>0</v>
      </c>
      <c r="D49" s="286">
        <v>0</v>
      </c>
      <c r="E49" s="286">
        <v>-4796329.743288517</v>
      </c>
      <c r="F49" s="286">
        <v>-4796329.743288517</v>
      </c>
      <c r="G49" s="286">
        <v>0</v>
      </c>
      <c r="I49" s="286">
        <v>2240284222.3691664</v>
      </c>
      <c r="J49" s="286">
        <v>2240284222.3691664</v>
      </c>
    </row>
    <row r="50" spans="1:10" x14ac:dyDescent="0.3">
      <c r="A50" s="272">
        <f>IF(ISBLANK(B50),"",MAX(A$6:A49)+1)</f>
        <v>35</v>
      </c>
      <c r="B50" s="159" t="s">
        <v>672</v>
      </c>
      <c r="C50" s="285">
        <v>0</v>
      </c>
      <c r="D50" s="285">
        <v>0</v>
      </c>
      <c r="E50" s="285">
        <v>0</v>
      </c>
      <c r="F50" s="285">
        <v>0</v>
      </c>
      <c r="G50" s="285">
        <v>0</v>
      </c>
      <c r="I50" s="285">
        <v>54431800.053166389</v>
      </c>
      <c r="J50" s="285">
        <v>54431800.053166389</v>
      </c>
    </row>
    <row r="51" spans="1:10" ht="15" thickBot="1" x14ac:dyDescent="0.35">
      <c r="A51" s="272">
        <f>IF(ISBLANK(B51),"",MAX(A$6:A50)+1)</f>
        <v>36</v>
      </c>
      <c r="B51" s="159" t="s">
        <v>673</v>
      </c>
      <c r="C51" s="287">
        <v>0</v>
      </c>
      <c r="D51" s="287">
        <v>0</v>
      </c>
      <c r="E51" s="287">
        <v>-4796329.743288517</v>
      </c>
      <c r="F51" s="287">
        <v>-4796329.743288517</v>
      </c>
      <c r="G51" s="287">
        <v>0</v>
      </c>
      <c r="I51" s="287">
        <v>2294716022.4223328</v>
      </c>
      <c r="J51" s="287">
        <v>2294716022.4223328</v>
      </c>
    </row>
    <row r="52" spans="1:10" ht="15" thickTop="1" x14ac:dyDescent="0.3">
      <c r="A52" s="272">
        <f>IF(ISBLANK(B52),"",MAX(A$6:A51)+1)</f>
        <v>37</v>
      </c>
      <c r="B52" s="288" t="s">
        <v>674</v>
      </c>
      <c r="C52" s="289">
        <v>0</v>
      </c>
      <c r="D52" s="289">
        <v>0</v>
      </c>
      <c r="E52" s="289">
        <v>0</v>
      </c>
      <c r="F52" s="289">
        <v>0</v>
      </c>
      <c r="G52" s="289">
        <v>0</v>
      </c>
      <c r="I52" s="289"/>
      <c r="J52" s="289">
        <v>0</v>
      </c>
    </row>
    <row r="53" spans="1:10" x14ac:dyDescent="0.3">
      <c r="A53" s="272">
        <f>IF(ISBLANK(B53),"",MAX(A$6:A52)+1)</f>
        <v>38</v>
      </c>
      <c r="B53" s="159" t="s">
        <v>675</v>
      </c>
      <c r="C53" s="159">
        <v>0</v>
      </c>
      <c r="D53" s="159">
        <v>0</v>
      </c>
      <c r="E53" s="159">
        <v>0</v>
      </c>
      <c r="F53" s="159">
        <v>0</v>
      </c>
      <c r="G53" s="159">
        <v>0</v>
      </c>
      <c r="J53" s="159">
        <v>0</v>
      </c>
    </row>
    <row r="54" spans="1:10" x14ac:dyDescent="0.3">
      <c r="A54" s="272">
        <f>IF(ISBLANK(B54),"",MAX(A$6:A53)+1)</f>
        <v>39</v>
      </c>
      <c r="B54" s="290" t="s">
        <v>676</v>
      </c>
      <c r="C54" s="291">
        <v>0</v>
      </c>
      <c r="D54" s="291">
        <v>0</v>
      </c>
      <c r="E54" s="291">
        <v>0</v>
      </c>
      <c r="F54" s="291">
        <v>0</v>
      </c>
      <c r="G54" s="291">
        <v>0</v>
      </c>
      <c r="I54" s="291">
        <v>70765039.407125533</v>
      </c>
      <c r="J54" s="291">
        <v>70765039.407125533</v>
      </c>
    </row>
    <row r="55" spans="1:10" x14ac:dyDescent="0.3">
      <c r="A55" s="272">
        <f>IF(ISBLANK(B55),"",MAX(A$6:A54)+1)</f>
        <v>40</v>
      </c>
      <c r="B55" s="290" t="s">
        <v>677</v>
      </c>
      <c r="C55" s="283">
        <v>0</v>
      </c>
      <c r="D55" s="283">
        <v>0</v>
      </c>
      <c r="E55" s="283">
        <v>0</v>
      </c>
      <c r="F55" s="283">
        <v>0</v>
      </c>
      <c r="G55" s="283">
        <v>0</v>
      </c>
      <c r="I55" s="283">
        <v>0</v>
      </c>
      <c r="J55" s="283">
        <v>0</v>
      </c>
    </row>
    <row r="56" spans="1:10" x14ac:dyDescent="0.3">
      <c r="A56" s="272">
        <f>IF(ISBLANK(B56),"",MAX(A$6:A55)+1)</f>
        <v>41</v>
      </c>
      <c r="B56" s="290" t="s">
        <v>678</v>
      </c>
      <c r="C56" s="199">
        <v>0</v>
      </c>
      <c r="D56" s="199">
        <v>0</v>
      </c>
      <c r="E56" s="199">
        <v>0</v>
      </c>
      <c r="F56" s="199">
        <v>0</v>
      </c>
      <c r="G56" s="199">
        <v>0</v>
      </c>
      <c r="I56" s="199">
        <v>4256298751.8561754</v>
      </c>
      <c r="J56" s="199">
        <v>4256298751.8561754</v>
      </c>
    </row>
    <row r="57" spans="1:10" x14ac:dyDescent="0.3">
      <c r="A57" s="272">
        <f>IF(ISBLANK(B57),"",MAX(A$6:A56)+1)</f>
        <v>42</v>
      </c>
      <c r="B57" s="290" t="s">
        <v>679</v>
      </c>
      <c r="C57" s="199">
        <v>0</v>
      </c>
      <c r="D57" s="199">
        <v>0</v>
      </c>
      <c r="E57" s="199">
        <v>0</v>
      </c>
      <c r="F57" s="199">
        <v>0</v>
      </c>
      <c r="G57" s="199">
        <v>0</v>
      </c>
      <c r="I57" s="199">
        <v>235759683.01589236</v>
      </c>
      <c r="J57" s="199">
        <v>235759683.01589236</v>
      </c>
    </row>
    <row r="58" spans="1:10" x14ac:dyDescent="0.3">
      <c r="A58" s="272">
        <f>IF(ISBLANK(B58),"",MAX(A$6:A57)+1)</f>
        <v>43</v>
      </c>
      <c r="B58" s="290" t="s">
        <v>680</v>
      </c>
      <c r="C58" s="199">
        <v>0</v>
      </c>
      <c r="D58" s="199">
        <v>0</v>
      </c>
      <c r="E58" s="199">
        <v>0</v>
      </c>
      <c r="F58" s="199">
        <v>0</v>
      </c>
      <c r="G58" s="199">
        <v>0</v>
      </c>
      <c r="I58" s="199">
        <v>225101354.47665015</v>
      </c>
      <c r="J58" s="199">
        <v>225101354.47665015</v>
      </c>
    </row>
    <row r="59" spans="1:10" x14ac:dyDescent="0.3">
      <c r="A59" s="272">
        <f>IF(ISBLANK(B59),"",MAX(A$6:A58)+1)</f>
        <v>44</v>
      </c>
      <c r="B59" s="292" t="s">
        <v>681</v>
      </c>
      <c r="C59" s="286">
        <v>0</v>
      </c>
      <c r="D59" s="286">
        <v>0</v>
      </c>
      <c r="E59" s="286">
        <v>0</v>
      </c>
      <c r="F59" s="286">
        <v>0</v>
      </c>
      <c r="G59" s="286">
        <v>0</v>
      </c>
      <c r="I59" s="286">
        <v>4787924828.7558432</v>
      </c>
      <c r="J59" s="286">
        <v>4787924828.7558432</v>
      </c>
    </row>
    <row r="60" spans="1:10" x14ac:dyDescent="0.3">
      <c r="A60" s="272" t="str">
        <f>IF(ISBLANK(B60),"",MAX(A$6:A59)+1)</f>
        <v/>
      </c>
      <c r="C60" s="159">
        <v>0</v>
      </c>
      <c r="D60" s="159">
        <v>0</v>
      </c>
      <c r="E60" s="159">
        <v>0</v>
      </c>
      <c r="F60" s="159">
        <v>0</v>
      </c>
      <c r="G60" s="159">
        <v>0</v>
      </c>
      <c r="J60" s="159">
        <v>0</v>
      </c>
    </row>
    <row r="61" spans="1:10" x14ac:dyDescent="0.3">
      <c r="A61" s="272">
        <f>IF(ISBLANK(B61),"",MAX(A$6:A60)+1)</f>
        <v>45</v>
      </c>
      <c r="B61" s="293" t="s">
        <v>682</v>
      </c>
      <c r="C61" s="159">
        <v>0</v>
      </c>
      <c r="D61" s="159">
        <v>0</v>
      </c>
      <c r="E61" s="159">
        <v>0</v>
      </c>
      <c r="F61" s="159">
        <v>0</v>
      </c>
      <c r="G61" s="159">
        <v>0</v>
      </c>
      <c r="J61" s="159">
        <v>0</v>
      </c>
    </row>
    <row r="62" spans="1:10" x14ac:dyDescent="0.3">
      <c r="A62" s="272">
        <f>IF(ISBLANK(B62),"",MAX(A$6:A61)+1)</f>
        <v>46</v>
      </c>
      <c r="B62" s="290" t="s">
        <v>676</v>
      </c>
      <c r="C62" s="291">
        <v>0</v>
      </c>
      <c r="D62" s="291">
        <v>0</v>
      </c>
      <c r="E62" s="291">
        <v>0</v>
      </c>
      <c r="F62" s="291">
        <v>0</v>
      </c>
      <c r="G62" s="291">
        <v>0</v>
      </c>
      <c r="I62" s="291">
        <v>-36714095.662006587</v>
      </c>
      <c r="J62" s="291">
        <v>-36714095.662006587</v>
      </c>
    </row>
    <row r="63" spans="1:10" x14ac:dyDescent="0.3">
      <c r="A63" s="272">
        <f>IF(ISBLANK(B63),"",MAX(A$6:A62)+1)</f>
        <v>47</v>
      </c>
      <c r="B63" s="290" t="s">
        <v>677</v>
      </c>
      <c r="C63" s="283">
        <v>0</v>
      </c>
      <c r="D63" s="283">
        <v>0</v>
      </c>
      <c r="E63" s="283">
        <v>0</v>
      </c>
      <c r="F63" s="283">
        <v>0</v>
      </c>
      <c r="G63" s="283">
        <v>0</v>
      </c>
      <c r="I63" s="283">
        <v>0</v>
      </c>
      <c r="J63" s="283">
        <v>0</v>
      </c>
    </row>
    <row r="64" spans="1:10" x14ac:dyDescent="0.3">
      <c r="A64" s="272">
        <f>IF(ISBLANK(B64),"",MAX(A$6:A63)+1)</f>
        <v>48</v>
      </c>
      <c r="B64" s="290" t="s">
        <v>678</v>
      </c>
      <c r="C64" s="199">
        <v>0</v>
      </c>
      <c r="D64" s="199">
        <v>0</v>
      </c>
      <c r="E64" s="199">
        <v>-4796329.3101565838</v>
      </c>
      <c r="F64" s="199">
        <v>-4796329.3101565838</v>
      </c>
      <c r="G64" s="199">
        <v>0</v>
      </c>
      <c r="I64" s="199">
        <v>-1685493627.5742593</v>
      </c>
      <c r="J64" s="199">
        <v>-1685493627.5742593</v>
      </c>
    </row>
    <row r="65" spans="1:10" x14ac:dyDescent="0.3">
      <c r="A65" s="272">
        <f>IF(ISBLANK(B65),"",MAX(A$6:A64)+1)</f>
        <v>49</v>
      </c>
      <c r="B65" s="290" t="s">
        <v>679</v>
      </c>
      <c r="C65" s="199">
        <v>0</v>
      </c>
      <c r="D65" s="199">
        <v>0</v>
      </c>
      <c r="E65" s="199">
        <v>0</v>
      </c>
      <c r="F65" s="199">
        <v>0</v>
      </c>
      <c r="G65" s="199">
        <v>0</v>
      </c>
      <c r="I65" s="199">
        <v>-118401632.2892105</v>
      </c>
      <c r="J65" s="199">
        <v>-118401632.2892105</v>
      </c>
    </row>
    <row r="66" spans="1:10" x14ac:dyDescent="0.3">
      <c r="A66" s="272">
        <f>IF(ISBLANK(B66),"",MAX(A$6:A65)+1)</f>
        <v>50</v>
      </c>
      <c r="B66" s="290" t="s">
        <v>680</v>
      </c>
      <c r="C66" s="199">
        <v>0</v>
      </c>
      <c r="D66" s="199">
        <v>0</v>
      </c>
      <c r="E66" s="199">
        <v>0</v>
      </c>
      <c r="F66" s="199">
        <v>0</v>
      </c>
      <c r="G66" s="199">
        <v>0</v>
      </c>
      <c r="I66" s="199">
        <v>-85582475.487244323</v>
      </c>
      <c r="J66" s="199">
        <v>-85582475.487244323</v>
      </c>
    </row>
    <row r="67" spans="1:10" x14ac:dyDescent="0.3">
      <c r="A67" s="272">
        <f>IF(ISBLANK(B67),"",MAX(A$6:A66)+1)</f>
        <v>51</v>
      </c>
      <c r="B67" s="292" t="s">
        <v>681</v>
      </c>
      <c r="C67" s="286">
        <v>0</v>
      </c>
      <c r="D67" s="286">
        <v>0</v>
      </c>
      <c r="E67" s="286">
        <v>-4796329.3101565838</v>
      </c>
      <c r="F67" s="286">
        <v>-4796329.3101565838</v>
      </c>
      <c r="G67" s="286">
        <v>0</v>
      </c>
      <c r="I67" s="286">
        <v>-1926191831.0127208</v>
      </c>
      <c r="J67" s="286">
        <v>-1926191831.0127208</v>
      </c>
    </row>
    <row r="68" spans="1:10" x14ac:dyDescent="0.3">
      <c r="A68" s="272" t="str">
        <f>IF(ISBLANK(B68),"",MAX(A$6:A67)+1)</f>
        <v/>
      </c>
      <c r="C68" s="159">
        <v>0</v>
      </c>
      <c r="D68" s="159">
        <v>0</v>
      </c>
      <c r="E68" s="159">
        <v>0</v>
      </c>
      <c r="F68" s="159">
        <v>0</v>
      </c>
      <c r="G68" s="159">
        <v>0</v>
      </c>
      <c r="J68" s="159">
        <v>0</v>
      </c>
    </row>
    <row r="69" spans="1:10" x14ac:dyDescent="0.3">
      <c r="A69" s="272">
        <f>IF(ISBLANK(B69),"",MAX(A$6:A68)+1)</f>
        <v>52</v>
      </c>
      <c r="B69" s="293" t="s">
        <v>683</v>
      </c>
      <c r="C69" s="159">
        <v>0</v>
      </c>
      <c r="D69" s="159">
        <v>0</v>
      </c>
      <c r="E69" s="159">
        <v>0</v>
      </c>
      <c r="F69" s="159">
        <v>0</v>
      </c>
      <c r="G69" s="159">
        <v>0</v>
      </c>
      <c r="J69" s="159">
        <v>0</v>
      </c>
    </row>
    <row r="70" spans="1:10" x14ac:dyDescent="0.3">
      <c r="A70" s="272">
        <f>IF(ISBLANK(B70),"",MAX(A$6:A69)+1)</f>
        <v>53</v>
      </c>
      <c r="B70" s="290" t="s">
        <v>676</v>
      </c>
      <c r="C70" s="291">
        <v>0</v>
      </c>
      <c r="D70" s="291">
        <v>0</v>
      </c>
      <c r="E70" s="291">
        <v>0</v>
      </c>
      <c r="F70" s="291">
        <v>0</v>
      </c>
      <c r="G70" s="291">
        <v>0</v>
      </c>
      <c r="I70" s="291">
        <v>0</v>
      </c>
      <c r="J70" s="291">
        <v>0</v>
      </c>
    </row>
    <row r="71" spans="1:10" x14ac:dyDescent="0.3">
      <c r="A71" s="272">
        <f>IF(ISBLANK(B71),"",MAX(A$6:A70)+1)</f>
        <v>54</v>
      </c>
      <c r="B71" s="290" t="s">
        <v>677</v>
      </c>
      <c r="C71" s="283">
        <v>0</v>
      </c>
      <c r="D71" s="283">
        <v>0</v>
      </c>
      <c r="E71" s="283">
        <v>0</v>
      </c>
      <c r="F71" s="283">
        <v>0</v>
      </c>
      <c r="G71" s="283">
        <v>0</v>
      </c>
      <c r="I71" s="283">
        <v>0</v>
      </c>
      <c r="J71" s="283">
        <v>0</v>
      </c>
    </row>
    <row r="72" spans="1:10" x14ac:dyDescent="0.3">
      <c r="A72" s="272">
        <f>IF(ISBLANK(B72),"",MAX(A$6:A71)+1)</f>
        <v>55</v>
      </c>
      <c r="B72" s="290" t="s">
        <v>678</v>
      </c>
      <c r="C72" s="199">
        <v>0</v>
      </c>
      <c r="D72" s="199">
        <v>0</v>
      </c>
      <c r="E72" s="199">
        <v>0</v>
      </c>
      <c r="F72" s="199">
        <v>0</v>
      </c>
      <c r="G72" s="199">
        <v>0</v>
      </c>
      <c r="I72" s="199">
        <v>0</v>
      </c>
      <c r="J72" s="199">
        <v>0</v>
      </c>
    </row>
    <row r="73" spans="1:10" x14ac:dyDescent="0.3">
      <c r="A73" s="272">
        <f>IF(ISBLANK(B73),"",MAX(A$6:A72)+1)</f>
        <v>56</v>
      </c>
      <c r="B73" s="290" t="s">
        <v>679</v>
      </c>
      <c r="C73" s="199">
        <v>0</v>
      </c>
      <c r="D73" s="199">
        <v>0</v>
      </c>
      <c r="E73" s="199">
        <v>0</v>
      </c>
      <c r="F73" s="199">
        <v>0</v>
      </c>
      <c r="G73" s="199">
        <v>0</v>
      </c>
      <c r="I73" s="199">
        <v>0</v>
      </c>
      <c r="J73" s="199">
        <v>0</v>
      </c>
    </row>
    <row r="74" spans="1:10" x14ac:dyDescent="0.3">
      <c r="A74" s="272">
        <f>IF(ISBLANK(B74),"",MAX(A$6:A73)+1)</f>
        <v>57</v>
      </c>
      <c r="B74" s="290" t="s">
        <v>680</v>
      </c>
      <c r="C74" s="199">
        <v>0</v>
      </c>
      <c r="D74" s="199">
        <v>0</v>
      </c>
      <c r="E74" s="199">
        <v>0</v>
      </c>
      <c r="F74" s="199">
        <v>0</v>
      </c>
      <c r="G74" s="199">
        <v>0</v>
      </c>
      <c r="I74" s="199">
        <v>0</v>
      </c>
      <c r="J74" s="199">
        <v>0</v>
      </c>
    </row>
    <row r="75" spans="1:10" x14ac:dyDescent="0.3">
      <c r="A75" s="272">
        <f>IF(ISBLANK(B75),"",MAX(A$6:A74)+1)</f>
        <v>58</v>
      </c>
      <c r="B75" s="292" t="s">
        <v>681</v>
      </c>
      <c r="C75" s="286">
        <v>0</v>
      </c>
      <c r="D75" s="286">
        <v>0</v>
      </c>
      <c r="E75" s="286">
        <v>0</v>
      </c>
      <c r="F75" s="286">
        <v>0</v>
      </c>
      <c r="G75" s="286">
        <v>0</v>
      </c>
      <c r="I75" s="286">
        <v>0</v>
      </c>
      <c r="J75" s="286">
        <v>0</v>
      </c>
    </row>
    <row r="76" spans="1:10" x14ac:dyDescent="0.3">
      <c r="A76" s="272" t="str">
        <f>IF(ISBLANK(B76),"",MAX(A$6:A75)+1)</f>
        <v/>
      </c>
      <c r="B76" s="293"/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J76" s="159">
        <v>0</v>
      </c>
    </row>
    <row r="77" spans="1:10" x14ac:dyDescent="0.3">
      <c r="A77" s="272">
        <f>IF(ISBLANK(B77),"",MAX(A$6:A76)+1)</f>
        <v>59</v>
      </c>
      <c r="B77" s="293" t="s">
        <v>684</v>
      </c>
      <c r="C77" s="159">
        <v>0</v>
      </c>
      <c r="D77" s="159">
        <v>0</v>
      </c>
      <c r="E77" s="159">
        <v>0</v>
      </c>
      <c r="F77" s="159">
        <v>0</v>
      </c>
      <c r="G77" s="159">
        <v>0</v>
      </c>
      <c r="J77" s="159">
        <v>0</v>
      </c>
    </row>
    <row r="78" spans="1:10" x14ac:dyDescent="0.3">
      <c r="A78" s="272">
        <f>IF(ISBLANK(B78),"",MAX(A$6:A77)+1)</f>
        <v>60</v>
      </c>
      <c r="B78" s="290" t="s">
        <v>676</v>
      </c>
      <c r="C78" s="291">
        <v>0</v>
      </c>
      <c r="D78" s="291">
        <v>0</v>
      </c>
      <c r="E78" s="291">
        <v>0</v>
      </c>
      <c r="F78" s="291">
        <v>0</v>
      </c>
      <c r="G78" s="291">
        <v>0</v>
      </c>
      <c r="I78" s="291">
        <v>0</v>
      </c>
      <c r="J78" s="291">
        <v>0</v>
      </c>
    </row>
    <row r="79" spans="1:10" x14ac:dyDescent="0.3">
      <c r="A79" s="272">
        <f>IF(ISBLANK(B79),"",MAX(A$6:A78)+1)</f>
        <v>61</v>
      </c>
      <c r="B79" s="290" t="s">
        <v>677</v>
      </c>
      <c r="C79" s="283">
        <v>0</v>
      </c>
      <c r="D79" s="283">
        <v>0</v>
      </c>
      <c r="E79" s="283">
        <v>0</v>
      </c>
      <c r="F79" s="283">
        <v>0</v>
      </c>
      <c r="G79" s="283">
        <v>0</v>
      </c>
      <c r="I79" s="283">
        <v>0</v>
      </c>
      <c r="J79" s="283">
        <v>0</v>
      </c>
    </row>
    <row r="80" spans="1:10" x14ac:dyDescent="0.3">
      <c r="A80" s="272">
        <f>IF(ISBLANK(B80),"",MAX(A$6:A79)+1)</f>
        <v>62</v>
      </c>
      <c r="B80" s="290" t="s">
        <v>678</v>
      </c>
      <c r="C80" s="199">
        <v>0</v>
      </c>
      <c r="D80" s="199">
        <v>0</v>
      </c>
      <c r="E80" s="199">
        <v>0</v>
      </c>
      <c r="F80" s="199">
        <v>0</v>
      </c>
      <c r="G80" s="199">
        <v>0</v>
      </c>
      <c r="I80" s="199">
        <v>0</v>
      </c>
      <c r="J80" s="199">
        <v>0</v>
      </c>
    </row>
    <row r="81" spans="1:10" x14ac:dyDescent="0.3">
      <c r="A81" s="272">
        <f>IF(ISBLANK(B81),"",MAX(A$6:A80)+1)</f>
        <v>63</v>
      </c>
      <c r="B81" s="290" t="s">
        <v>679</v>
      </c>
      <c r="C81" s="199">
        <v>0</v>
      </c>
      <c r="D81" s="199">
        <v>0</v>
      </c>
      <c r="E81" s="199">
        <v>0</v>
      </c>
      <c r="F81" s="199">
        <v>0</v>
      </c>
      <c r="G81" s="199">
        <v>0</v>
      </c>
      <c r="I81" s="199">
        <v>0</v>
      </c>
      <c r="J81" s="199">
        <v>0</v>
      </c>
    </row>
    <row r="82" spans="1:10" x14ac:dyDescent="0.3">
      <c r="A82" s="272">
        <f>IF(ISBLANK(B82),"",MAX(A$6:A81)+1)</f>
        <v>64</v>
      </c>
      <c r="B82" s="290" t="s">
        <v>680</v>
      </c>
      <c r="C82" s="199">
        <v>0</v>
      </c>
      <c r="D82" s="199">
        <v>0</v>
      </c>
      <c r="E82" s="199">
        <v>0</v>
      </c>
      <c r="F82" s="199">
        <v>0</v>
      </c>
      <c r="G82" s="199">
        <v>0</v>
      </c>
      <c r="I82" s="199">
        <v>0</v>
      </c>
      <c r="J82" s="199">
        <v>0</v>
      </c>
    </row>
    <row r="83" spans="1:10" x14ac:dyDescent="0.3">
      <c r="A83" s="272">
        <f>IF(ISBLANK(B83),"",MAX(A$6:A82)+1)</f>
        <v>65</v>
      </c>
      <c r="B83" s="292" t="s">
        <v>681</v>
      </c>
      <c r="C83" s="286">
        <v>0</v>
      </c>
      <c r="D83" s="286">
        <v>0</v>
      </c>
      <c r="E83" s="286">
        <v>0</v>
      </c>
      <c r="F83" s="286">
        <v>0</v>
      </c>
      <c r="G83" s="286">
        <v>0</v>
      </c>
      <c r="I83" s="286">
        <v>0</v>
      </c>
      <c r="J83" s="286">
        <v>0</v>
      </c>
    </row>
    <row r="84" spans="1:10" x14ac:dyDescent="0.3">
      <c r="A84" s="272" t="str">
        <f>IF(ISBLANK(B84),"",MAX(A$6:A83)+1)</f>
        <v/>
      </c>
      <c r="B84" s="293"/>
      <c r="C84" s="159">
        <v>0</v>
      </c>
      <c r="D84" s="159">
        <v>0</v>
      </c>
      <c r="E84" s="159">
        <v>0</v>
      </c>
      <c r="F84" s="159">
        <v>0</v>
      </c>
      <c r="G84" s="159">
        <v>0</v>
      </c>
      <c r="J84" s="159">
        <v>0</v>
      </c>
    </row>
    <row r="85" spans="1:10" x14ac:dyDescent="0.3">
      <c r="A85" s="272">
        <f>IF(ISBLANK(B85),"",MAX(A$6:A84)+1)</f>
        <v>66</v>
      </c>
      <c r="B85" s="293" t="s">
        <v>685</v>
      </c>
      <c r="C85" s="159">
        <v>0</v>
      </c>
      <c r="D85" s="159">
        <v>0</v>
      </c>
      <c r="E85" s="159">
        <v>0</v>
      </c>
      <c r="F85" s="159">
        <v>0</v>
      </c>
      <c r="G85" s="159">
        <v>0</v>
      </c>
      <c r="J85" s="159">
        <v>0</v>
      </c>
    </row>
    <row r="86" spans="1:10" x14ac:dyDescent="0.3">
      <c r="A86" s="272">
        <f>IF(ISBLANK(B86),"",MAX(A$6:A85)+1)</f>
        <v>67</v>
      </c>
      <c r="B86" s="290" t="s">
        <v>676</v>
      </c>
      <c r="C86" s="201">
        <v>0</v>
      </c>
      <c r="D86" s="201">
        <v>0</v>
      </c>
      <c r="E86" s="201">
        <v>7917.9849075701804</v>
      </c>
      <c r="F86" s="201">
        <v>7917.9849075701804</v>
      </c>
      <c r="G86" s="201">
        <v>0</v>
      </c>
      <c r="I86" s="201">
        <v>-15078.028303402285</v>
      </c>
      <c r="J86" s="201">
        <v>-15078.028303402285</v>
      </c>
    </row>
    <row r="87" spans="1:10" x14ac:dyDescent="0.3">
      <c r="A87" s="272">
        <f>IF(ISBLANK(B87),"",MAX(A$6:A86)+1)</f>
        <v>68</v>
      </c>
      <c r="B87" s="290" t="s">
        <v>677</v>
      </c>
      <c r="C87" s="283">
        <v>0</v>
      </c>
      <c r="D87" s="283">
        <v>0</v>
      </c>
      <c r="E87" s="283">
        <v>0</v>
      </c>
      <c r="F87" s="283">
        <v>0</v>
      </c>
      <c r="G87" s="283">
        <v>0</v>
      </c>
      <c r="I87" s="283">
        <v>0</v>
      </c>
      <c r="J87" s="283">
        <v>0</v>
      </c>
    </row>
    <row r="88" spans="1:10" x14ac:dyDescent="0.3">
      <c r="A88" s="272">
        <f>IF(ISBLANK(B88),"",MAX(A$6:A87)+1)</f>
        <v>69</v>
      </c>
      <c r="B88" s="290" t="s">
        <v>678</v>
      </c>
      <c r="C88" s="283">
        <v>0</v>
      </c>
      <c r="D88" s="283">
        <v>0</v>
      </c>
      <c r="E88" s="283">
        <v>1021965.000893712</v>
      </c>
      <c r="F88" s="283">
        <v>1021965.000893712</v>
      </c>
      <c r="G88" s="283">
        <v>0</v>
      </c>
      <c r="I88" s="283">
        <v>-521060634.25000882</v>
      </c>
      <c r="J88" s="283">
        <v>-521060634.25000882</v>
      </c>
    </row>
    <row r="89" spans="1:10" x14ac:dyDescent="0.3">
      <c r="A89" s="272">
        <f>IF(ISBLANK(B89),"",MAX(A$6:A88)+1)</f>
        <v>70</v>
      </c>
      <c r="B89" s="290" t="s">
        <v>679</v>
      </c>
      <c r="C89" s="283">
        <v>0</v>
      </c>
      <c r="D89" s="283">
        <v>0</v>
      </c>
      <c r="E89" s="283">
        <v>147580.20773694199</v>
      </c>
      <c r="F89" s="283">
        <v>147580.20773694199</v>
      </c>
      <c r="G89" s="283">
        <v>0</v>
      </c>
      <c r="I89" s="283">
        <v>-1187112.1132098241</v>
      </c>
      <c r="J89" s="283">
        <v>-1187112.1132098241</v>
      </c>
    </row>
    <row r="90" spans="1:10" x14ac:dyDescent="0.3">
      <c r="A90" s="272">
        <f>IF(ISBLANK(B90),"",MAX(A$6:A89)+1)</f>
        <v>71</v>
      </c>
      <c r="B90" s="290" t="s">
        <v>680</v>
      </c>
      <c r="C90" s="283">
        <v>0</v>
      </c>
      <c r="D90" s="283">
        <v>0</v>
      </c>
      <c r="E90" s="283">
        <v>-1177463.626669988</v>
      </c>
      <c r="F90" s="283">
        <v>-1177463.626669988</v>
      </c>
      <c r="G90" s="283">
        <v>0</v>
      </c>
      <c r="I90" s="283">
        <v>-75642680.577498913</v>
      </c>
      <c r="J90" s="283">
        <v>-75642680.577498913</v>
      </c>
    </row>
    <row r="91" spans="1:10" x14ac:dyDescent="0.3">
      <c r="A91" s="272">
        <f>IF(ISBLANK(B91),"",MAX(A$6:A90)+1)</f>
        <v>72</v>
      </c>
      <c r="B91" s="292" t="s">
        <v>681</v>
      </c>
      <c r="C91" s="202">
        <v>0</v>
      </c>
      <c r="D91" s="202">
        <v>0</v>
      </c>
      <c r="E91" s="202">
        <v>-0.43313181400299072</v>
      </c>
      <c r="F91" s="202">
        <v>-0.43313181400299072</v>
      </c>
      <c r="G91" s="202">
        <v>0</v>
      </c>
      <c r="I91" s="202">
        <v>-597905504.96902096</v>
      </c>
      <c r="J91" s="202">
        <v>-597905504.96902096</v>
      </c>
    </row>
    <row r="92" spans="1:10" x14ac:dyDescent="0.3">
      <c r="A92" s="272" t="str">
        <f>IF(ISBLANK(B92),"",MAX(A$6:A91)+1)</f>
        <v/>
      </c>
      <c r="C92" s="159">
        <v>0</v>
      </c>
      <c r="D92" s="159">
        <v>0</v>
      </c>
      <c r="E92" s="159">
        <v>0</v>
      </c>
      <c r="F92" s="159">
        <v>0</v>
      </c>
      <c r="G92" s="159">
        <v>0</v>
      </c>
      <c r="J92" s="159">
        <v>0</v>
      </c>
    </row>
    <row r="93" spans="1:10" x14ac:dyDescent="0.3">
      <c r="A93" s="272">
        <f>IF(ISBLANK(B93),"",MAX(A$6:A92)+1)</f>
        <v>73</v>
      </c>
      <c r="B93" s="293" t="s">
        <v>686</v>
      </c>
      <c r="C93" s="159">
        <v>0</v>
      </c>
      <c r="D93" s="159">
        <v>0</v>
      </c>
      <c r="E93" s="159">
        <v>0</v>
      </c>
      <c r="F93" s="159">
        <v>0</v>
      </c>
      <c r="G93" s="159">
        <v>0</v>
      </c>
      <c r="J93" s="159">
        <v>0</v>
      </c>
    </row>
    <row r="94" spans="1:10" x14ac:dyDescent="0.3">
      <c r="A94" s="272">
        <f>IF(ISBLANK(B94),"",MAX(A$6:A93)+1)</f>
        <v>74</v>
      </c>
      <c r="B94" s="290" t="s">
        <v>676</v>
      </c>
      <c r="C94" s="201">
        <v>0</v>
      </c>
      <c r="D94" s="201">
        <v>0</v>
      </c>
      <c r="E94" s="201">
        <v>7917.9849075749516</v>
      </c>
      <c r="F94" s="201">
        <v>7917.9849075749516</v>
      </c>
      <c r="G94" s="201">
        <v>0</v>
      </c>
      <c r="I94" s="201">
        <v>34035865.716815546</v>
      </c>
      <c r="J94" s="201">
        <v>34035865.716815546</v>
      </c>
    </row>
    <row r="95" spans="1:10" x14ac:dyDescent="0.3">
      <c r="A95" s="272">
        <f>IF(ISBLANK(B95),"",MAX(A$6:A94)+1)</f>
        <v>75</v>
      </c>
      <c r="B95" s="290" t="s">
        <v>677</v>
      </c>
      <c r="C95" s="283">
        <v>0</v>
      </c>
      <c r="D95" s="283">
        <v>0</v>
      </c>
      <c r="E95" s="283">
        <v>0</v>
      </c>
      <c r="F95" s="283">
        <v>0</v>
      </c>
      <c r="G95" s="283">
        <v>0</v>
      </c>
      <c r="I95" s="283">
        <v>0</v>
      </c>
      <c r="J95" s="283">
        <v>0</v>
      </c>
    </row>
    <row r="96" spans="1:10" x14ac:dyDescent="0.3">
      <c r="A96" s="272">
        <f>IF(ISBLANK(B96),"",MAX(A$6:A95)+1)</f>
        <v>76</v>
      </c>
      <c r="B96" s="290" t="s">
        <v>678</v>
      </c>
      <c r="C96" s="283">
        <v>0</v>
      </c>
      <c r="D96" s="283">
        <v>0</v>
      </c>
      <c r="E96" s="283">
        <v>-3774364.3092625141</v>
      </c>
      <c r="F96" s="283">
        <v>-3774364.3092625141</v>
      </c>
      <c r="G96" s="283">
        <v>0</v>
      </c>
      <c r="I96" s="283">
        <v>2049744490.0319073</v>
      </c>
      <c r="J96" s="283">
        <v>2049744490.0319073</v>
      </c>
    </row>
    <row r="97" spans="1:10" x14ac:dyDescent="0.3">
      <c r="A97" s="272">
        <f>IF(ISBLANK(B97),"",MAX(A$6:A96)+1)</f>
        <v>77</v>
      </c>
      <c r="B97" s="290" t="s">
        <v>679</v>
      </c>
      <c r="C97" s="283">
        <v>0</v>
      </c>
      <c r="D97" s="283">
        <v>0</v>
      </c>
      <c r="E97" s="283">
        <v>147580.20773693919</v>
      </c>
      <c r="F97" s="283">
        <v>147580.20773693919</v>
      </c>
      <c r="G97" s="283">
        <v>0</v>
      </c>
      <c r="I97" s="283">
        <v>116170938.61347203</v>
      </c>
      <c r="J97" s="283">
        <v>116170938.61347203</v>
      </c>
    </row>
    <row r="98" spans="1:10" x14ac:dyDescent="0.3">
      <c r="A98" s="272">
        <f>IF(ISBLANK(B98),"",MAX(A$6:A97)+1)</f>
        <v>78</v>
      </c>
      <c r="B98" s="290" t="s">
        <v>680</v>
      </c>
      <c r="C98" s="283">
        <v>0</v>
      </c>
      <c r="D98" s="283">
        <v>0</v>
      </c>
      <c r="E98" s="283">
        <v>-1177463.626669988</v>
      </c>
      <c r="F98" s="283">
        <v>-1177463.626669988</v>
      </c>
      <c r="G98" s="283">
        <v>0</v>
      </c>
      <c r="I98" s="283">
        <v>63876198.411906898</v>
      </c>
      <c r="J98" s="283">
        <v>63876198.411906898</v>
      </c>
    </row>
    <row r="99" spans="1:10" x14ac:dyDescent="0.3">
      <c r="A99" s="272">
        <f>IF(ISBLANK(B99),"",MAX(A$6:A98)+1)</f>
        <v>79</v>
      </c>
      <c r="B99" s="292" t="s">
        <v>681</v>
      </c>
      <c r="C99" s="202">
        <v>0</v>
      </c>
      <c r="D99" s="202">
        <v>0</v>
      </c>
      <c r="E99" s="202">
        <v>-4796329.743288517</v>
      </c>
      <c r="F99" s="202">
        <v>-4796329.743288517</v>
      </c>
      <c r="G99" s="202">
        <v>0</v>
      </c>
      <c r="I99" s="202">
        <v>2263827492.7741017</v>
      </c>
      <c r="J99" s="202">
        <v>2263827492.7741017</v>
      </c>
    </row>
    <row r="100" spans="1:10" x14ac:dyDescent="0.3">
      <c r="A100" s="272" t="str">
        <f>IF(ISBLANK(B100),"",MAX(A$6:A99)+1)</f>
        <v/>
      </c>
      <c r="C100" s="159">
        <v>0</v>
      </c>
      <c r="D100" s="159">
        <v>0</v>
      </c>
      <c r="E100" s="159">
        <v>0</v>
      </c>
      <c r="F100" s="159">
        <v>0</v>
      </c>
      <c r="G100" s="159">
        <v>0</v>
      </c>
      <c r="J100" s="159">
        <v>0</v>
      </c>
    </row>
    <row r="101" spans="1:10" x14ac:dyDescent="0.3">
      <c r="A101" s="272">
        <f>IF(ISBLANK(B101),"",MAX(A$6:A100)+1)</f>
        <v>80</v>
      </c>
      <c r="B101" s="290" t="s">
        <v>687</v>
      </c>
      <c r="C101" s="201">
        <v>0</v>
      </c>
      <c r="D101" s="201">
        <v>0</v>
      </c>
      <c r="E101" s="201">
        <v>0</v>
      </c>
      <c r="F101" s="201">
        <v>0</v>
      </c>
      <c r="G101" s="201">
        <v>0</v>
      </c>
      <c r="I101" s="201">
        <v>-6387209.8959614569</v>
      </c>
      <c r="J101" s="201">
        <v>-6387209.8959614569</v>
      </c>
    </row>
    <row r="102" spans="1:10" x14ac:dyDescent="0.3">
      <c r="A102" s="272">
        <f>IF(ISBLANK(B102),"",MAX(A$6:A101)+1)</f>
        <v>81</v>
      </c>
      <c r="B102" s="290" t="s">
        <v>688</v>
      </c>
      <c r="C102" s="283">
        <v>0</v>
      </c>
      <c r="D102" s="283">
        <v>0</v>
      </c>
      <c r="E102" s="283">
        <v>0</v>
      </c>
      <c r="F102" s="283">
        <v>0</v>
      </c>
      <c r="G102" s="283">
        <v>0</v>
      </c>
      <c r="I102" s="283">
        <v>-17156060.508973658</v>
      </c>
      <c r="J102" s="283">
        <v>-17156060.508973658</v>
      </c>
    </row>
    <row r="103" spans="1:10" x14ac:dyDescent="0.3">
      <c r="A103" s="272">
        <f>IF(ISBLANK(B103),"",MAX(A$6:A102)+1)</f>
        <v>82</v>
      </c>
      <c r="B103" s="290" t="s">
        <v>689</v>
      </c>
      <c r="C103" s="283">
        <v>0</v>
      </c>
      <c r="D103" s="283">
        <v>0</v>
      </c>
      <c r="E103" s="283">
        <v>0</v>
      </c>
      <c r="F103" s="283">
        <v>0</v>
      </c>
      <c r="G103" s="283">
        <v>0</v>
      </c>
      <c r="I103" s="283">
        <v>54431800.053166389</v>
      </c>
      <c r="J103" s="283">
        <v>54431800.053166389</v>
      </c>
    </row>
    <row r="104" spans="1:10" ht="15" thickBot="1" x14ac:dyDescent="0.35">
      <c r="A104" s="272">
        <f>IF(ISBLANK(B104),"",MAX(A$6:A103)+1)</f>
        <v>83</v>
      </c>
      <c r="B104" s="294" t="s">
        <v>690</v>
      </c>
      <c r="C104" s="203">
        <v>0</v>
      </c>
      <c r="D104" s="203">
        <v>0</v>
      </c>
      <c r="E104" s="203">
        <v>-4796329.743288517</v>
      </c>
      <c r="F104" s="203">
        <v>-4796329.743288517</v>
      </c>
      <c r="G104" s="203">
        <v>0</v>
      </c>
      <c r="I104" s="203">
        <v>2294716022.4223332</v>
      </c>
      <c r="J104" s="203">
        <v>2294716022.4223332</v>
      </c>
    </row>
    <row r="105" spans="1:10" ht="15" thickTop="1" x14ac:dyDescent="0.3">
      <c r="A105" s="272">
        <f>IF(ISBLANK(B105),"",MAX(A$6:A104)+1)</f>
        <v>84</v>
      </c>
      <c r="B105" s="288" t="s">
        <v>674</v>
      </c>
      <c r="C105" s="289">
        <v>0</v>
      </c>
      <c r="D105" s="289">
        <v>0</v>
      </c>
      <c r="E105" s="289">
        <v>0</v>
      </c>
      <c r="F105" s="289">
        <v>0</v>
      </c>
      <c r="G105" s="289">
        <v>0</v>
      </c>
      <c r="I105" s="289">
        <v>0</v>
      </c>
      <c r="J105" s="289">
        <v>0</v>
      </c>
    </row>
    <row r="106" spans="1:10" x14ac:dyDescent="0.3">
      <c r="A106" s="272">
        <f>IF(ISBLANK(B106),"",MAX(A$6:A105)+1)</f>
        <v>85</v>
      </c>
      <c r="B106" s="159" t="s">
        <v>691</v>
      </c>
      <c r="C106" s="204">
        <v>0</v>
      </c>
      <c r="D106" s="204">
        <v>0</v>
      </c>
      <c r="E106" s="204">
        <v>0</v>
      </c>
      <c r="F106" s="204">
        <v>0</v>
      </c>
      <c r="G106" s="204">
        <v>-5.0000000000000044E-4</v>
      </c>
      <c r="I106" s="204">
        <v>7.5700000000000003E-2</v>
      </c>
      <c r="J106" s="204">
        <v>7.6200000000000004E-2</v>
      </c>
    </row>
    <row r="107" spans="1:10" x14ac:dyDescent="0.3">
      <c r="A107" s="272">
        <f>IF(ISBLANK(B107),"",MAX(A$6:A106)+1)</f>
        <v>86</v>
      </c>
      <c r="B107" s="159" t="s">
        <v>692</v>
      </c>
      <c r="C107" s="201">
        <v>0</v>
      </c>
      <c r="D107" s="201">
        <v>0</v>
      </c>
      <c r="E107" s="201">
        <v>-365480.32643857598</v>
      </c>
      <c r="F107" s="201">
        <v>-365480.32643857598</v>
      </c>
      <c r="G107" s="201">
        <v>-1147358.0112111568</v>
      </c>
      <c r="I107" s="201">
        <v>173710002.89737061</v>
      </c>
      <c r="J107" s="201">
        <v>174857360.90858176</v>
      </c>
    </row>
    <row r="108" spans="1:10" x14ac:dyDescent="0.3">
      <c r="A108" s="272">
        <f>IF(ISBLANK(B108),"",MAX(A$6:A107)+1)</f>
        <v>87</v>
      </c>
      <c r="B108" s="159" t="s">
        <v>693</v>
      </c>
      <c r="C108" s="201">
        <v>-1267697.6229108572</v>
      </c>
      <c r="D108" s="201">
        <v>-410388.11882388592</v>
      </c>
      <c r="E108" s="201">
        <v>1730209.0556644499</v>
      </c>
      <c r="F108" s="201">
        <v>-336572.84707579017</v>
      </c>
      <c r="G108" s="201">
        <v>-1122528.6090936661</v>
      </c>
      <c r="I108" s="201">
        <v>85897374.424747437</v>
      </c>
      <c r="J108" s="201">
        <v>87019903.033841103</v>
      </c>
    </row>
    <row r="109" spans="1:10" x14ac:dyDescent="0.3">
      <c r="A109" s="272">
        <f>IF(ISBLANK(B109),"",MAX(A$6:A108)+1)</f>
        <v>88</v>
      </c>
      <c r="B109" s="159" t="s">
        <v>694</v>
      </c>
      <c r="C109" s="205">
        <v>0</v>
      </c>
      <c r="D109" s="205">
        <v>0</v>
      </c>
      <c r="E109" s="205">
        <v>0</v>
      </c>
      <c r="F109" s="205">
        <v>0</v>
      </c>
      <c r="G109" s="205">
        <v>0</v>
      </c>
      <c r="I109" s="205">
        <v>0.75409700000000002</v>
      </c>
      <c r="J109" s="205">
        <v>0.75409700000000002</v>
      </c>
    </row>
    <row r="110" spans="1:10" x14ac:dyDescent="0.3">
      <c r="A110" s="272">
        <f>IF(ISBLANK(B110),"",MAX(A$6:A109)+1)</f>
        <v>89</v>
      </c>
      <c r="B110" s="159" t="s">
        <v>695</v>
      </c>
      <c r="C110" s="201">
        <v>-1681080.3158093244</v>
      </c>
      <c r="D110" s="201">
        <v>-544211.3134303391</v>
      </c>
      <c r="E110" s="201">
        <v>2294411.8006893694</v>
      </c>
      <c r="F110" s="201">
        <v>-446325.66775333881</v>
      </c>
      <c r="G110" s="201">
        <v>-1488573.2327454835</v>
      </c>
      <c r="I110" s="201">
        <v>113907593.35304004</v>
      </c>
      <c r="J110" s="201">
        <v>115396166.58578552</v>
      </c>
    </row>
    <row r="111" spans="1:10" x14ac:dyDescent="0.3">
      <c r="A111" s="272">
        <f>IF(ISBLANK(B111),"",MAX(A$6:A110)+1)</f>
        <v>90</v>
      </c>
      <c r="B111" s="159" t="s">
        <v>696</v>
      </c>
      <c r="C111" s="205">
        <v>0</v>
      </c>
      <c r="D111" s="205">
        <v>0</v>
      </c>
      <c r="E111" s="205">
        <v>0</v>
      </c>
      <c r="F111" s="205">
        <v>0</v>
      </c>
      <c r="G111" s="205">
        <f>+I111-J111</f>
        <v>-6.2741774030672381E-4</v>
      </c>
      <c r="I111" s="205">
        <v>1.0136864409724622</v>
      </c>
      <c r="J111" s="205">
        <v>1.0143138587127689</v>
      </c>
    </row>
    <row r="112" spans="1:10" x14ac:dyDescent="0.3">
      <c r="A112" s="272">
        <f>IF(ISBLANK(B112),"",MAX(A$6:A111)+1)</f>
        <v>91</v>
      </c>
      <c r="B112" s="159" t="s">
        <v>697</v>
      </c>
      <c r="C112" s="201">
        <v>-1657357.1398725808</v>
      </c>
      <c r="D112" s="201">
        <v>-536531.47766411304</v>
      </c>
      <c r="E112" s="201">
        <v>2262033.3745623231</v>
      </c>
      <c r="F112" s="201">
        <v>-440027.18085677922</v>
      </c>
      <c r="G112" s="201">
        <v>-1398058.9015591294</v>
      </c>
      <c r="I112" s="201">
        <v>112369652.73380278</v>
      </c>
      <c r="J112" s="201">
        <v>113767711.63536191</v>
      </c>
    </row>
    <row r="113" spans="1:1" x14ac:dyDescent="0.3">
      <c r="A113" s="272" t="str">
        <f>IF(ISBLANK(B113),"",MAX(A$6:A112)+1)</f>
        <v/>
      </c>
    </row>
    <row r="134" spans="9:9" x14ac:dyDescent="0.3">
      <c r="I134" s="201"/>
    </row>
  </sheetData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1"/>
  <sheetViews>
    <sheetView zoomScale="85" zoomScaleNormal="85" workbookViewId="0">
      <pane xSplit="2" ySplit="7" topLeftCell="C8" activePane="bottomRight" state="frozen"/>
      <selection activeCell="M95" sqref="M95"/>
      <selection pane="topRight" activeCell="M95" sqref="M95"/>
      <selection pane="bottomLeft" activeCell="M95" sqref="M95"/>
      <selection pane="bottomRight" activeCell="M23" sqref="M23"/>
    </sheetView>
  </sheetViews>
  <sheetFormatPr defaultRowHeight="14.4" outlineLevelRow="1" x14ac:dyDescent="0.3"/>
  <cols>
    <col min="1" max="1" width="7.44140625" customWidth="1"/>
    <col min="2" max="2" width="67.6640625" customWidth="1"/>
    <col min="3" max="3" width="4.6640625" style="55" customWidth="1"/>
    <col min="4" max="4" width="7.109375" bestFit="1" customWidth="1"/>
    <col min="5" max="5" width="16.88671875" bestFit="1" customWidth="1"/>
    <col min="7" max="7" width="15.33203125" bestFit="1" customWidth="1"/>
    <col min="8" max="8" width="14" bestFit="1" customWidth="1"/>
    <col min="9" max="9" width="15.5546875" customWidth="1"/>
    <col min="11" max="12" width="14.33203125" bestFit="1" customWidth="1"/>
    <col min="13" max="13" width="15" bestFit="1" customWidth="1"/>
    <col min="14" max="14" width="12.5546875" bestFit="1" customWidth="1"/>
    <col min="15" max="15" width="14.33203125" customWidth="1"/>
    <col min="16" max="16" width="12.33203125" bestFit="1" customWidth="1"/>
    <col min="17" max="17" width="32.5546875" bestFit="1" customWidth="1"/>
  </cols>
  <sheetData>
    <row r="1" spans="1:11" x14ac:dyDescent="0.3">
      <c r="A1" s="92" t="s">
        <v>543</v>
      </c>
      <c r="K1">
        <v>0.75409700000000002</v>
      </c>
    </row>
    <row r="2" spans="1:11" ht="15" thickBot="1" x14ac:dyDescent="0.35">
      <c r="A2" s="92" t="s">
        <v>542</v>
      </c>
      <c r="K2" s="53">
        <v>2.8199999999999999E-2</v>
      </c>
    </row>
    <row r="3" spans="1:11" ht="15" thickBot="1" x14ac:dyDescent="0.35">
      <c r="A3" s="92" t="s">
        <v>541</v>
      </c>
      <c r="E3" s="94">
        <f>E33</f>
        <v>0</v>
      </c>
      <c r="G3" s="93">
        <f>G33</f>
        <v>0</v>
      </c>
      <c r="H3" s="93">
        <f>H33</f>
        <v>0</v>
      </c>
      <c r="I3" s="93">
        <f>I33</f>
        <v>0</v>
      </c>
      <c r="K3" s="93">
        <f>K33</f>
        <v>0</v>
      </c>
    </row>
    <row r="4" spans="1:11" x14ac:dyDescent="0.3">
      <c r="A4" s="92"/>
    </row>
    <row r="5" spans="1:11" x14ac:dyDescent="0.3">
      <c r="A5" s="92"/>
      <c r="J5" s="91" t="s">
        <v>540</v>
      </c>
    </row>
    <row r="6" spans="1:11" x14ac:dyDescent="0.3">
      <c r="J6" s="91">
        <v>0.75409700000000002</v>
      </c>
    </row>
    <row r="7" spans="1:11" ht="33.6" x14ac:dyDescent="0.3">
      <c r="A7" s="89" t="s">
        <v>539</v>
      </c>
      <c r="B7" s="89" t="s">
        <v>518</v>
      </c>
      <c r="C7" s="90"/>
      <c r="D7" s="89"/>
      <c r="E7" s="88" t="s">
        <v>516</v>
      </c>
      <c r="F7" s="89" t="s">
        <v>538</v>
      </c>
      <c r="G7" s="89" t="s">
        <v>537</v>
      </c>
      <c r="H7" s="88" t="s">
        <v>511</v>
      </c>
      <c r="I7" s="86" t="s">
        <v>536</v>
      </c>
      <c r="J7" s="87" t="s">
        <v>535</v>
      </c>
      <c r="K7" s="86" t="s">
        <v>534</v>
      </c>
    </row>
    <row r="8" spans="1:11" x14ac:dyDescent="0.3">
      <c r="A8" s="68">
        <f>ROW()</f>
        <v>8</v>
      </c>
      <c r="B8" t="s">
        <v>544</v>
      </c>
      <c r="D8" s="83"/>
      <c r="E8" s="76">
        <v>2112672665.850872</v>
      </c>
      <c r="F8" s="95">
        <v>7.6200000000000004E-2</v>
      </c>
      <c r="G8" s="76">
        <f>+E8*F8</f>
        <v>160985657.13783646</v>
      </c>
      <c r="H8" s="76">
        <v>96036535.300425529</v>
      </c>
      <c r="I8" s="84">
        <f>+G8-H8</f>
        <v>64949121.837410927</v>
      </c>
      <c r="J8" s="85">
        <f>J6</f>
        <v>0.75409700000000002</v>
      </c>
      <c r="K8" s="76">
        <f>+I8/$J$8</f>
        <v>86128338.711612597</v>
      </c>
    </row>
    <row r="9" spans="1:11" x14ac:dyDescent="0.3">
      <c r="A9" s="68">
        <f>ROW()</f>
        <v>9</v>
      </c>
      <c r="B9" s="82" t="s">
        <v>575</v>
      </c>
      <c r="D9" s="83"/>
      <c r="E9" s="120"/>
      <c r="G9" s="76">
        <f>+E9*$F$8</f>
        <v>0</v>
      </c>
      <c r="H9" s="120"/>
      <c r="I9" s="84">
        <f t="shared" ref="I9:I16" si="0">+G9-H9</f>
        <v>0</v>
      </c>
      <c r="K9" s="76">
        <f t="shared" ref="K9:K29" si="1">+I9/$J$8</f>
        <v>0</v>
      </c>
    </row>
    <row r="10" spans="1:11" x14ac:dyDescent="0.3">
      <c r="A10" s="68">
        <f>ROW()</f>
        <v>10</v>
      </c>
      <c r="B10" s="82" t="s">
        <v>549</v>
      </c>
      <c r="D10" s="83"/>
      <c r="E10" s="76"/>
      <c r="G10" s="76">
        <f t="shared" ref="G10:G14" si="2">+E10*$F$8</f>
        <v>0</v>
      </c>
      <c r="H10" s="76">
        <v>-39045.280462265015</v>
      </c>
      <c r="I10" s="84">
        <f t="shared" si="0"/>
        <v>39045.280462265015</v>
      </c>
      <c r="K10" s="76">
        <f t="shared" si="1"/>
        <v>51777.530559417442</v>
      </c>
    </row>
    <row r="11" spans="1:11" x14ac:dyDescent="0.3">
      <c r="A11" s="68">
        <f>ROW()</f>
        <v>11</v>
      </c>
      <c r="B11" s="123" t="s">
        <v>578</v>
      </c>
      <c r="C11" s="124"/>
      <c r="D11" s="125"/>
      <c r="E11" s="126"/>
      <c r="F11" s="127"/>
      <c r="G11" s="126">
        <f t="shared" ref="G11" si="3">$F$9*E11</f>
        <v>0</v>
      </c>
      <c r="H11" s="126"/>
      <c r="I11" s="128">
        <f t="shared" si="0"/>
        <v>0</v>
      </c>
      <c r="J11" s="127"/>
      <c r="K11" s="126">
        <f t="shared" si="1"/>
        <v>0</v>
      </c>
    </row>
    <row r="12" spans="1:11" x14ac:dyDescent="0.3">
      <c r="A12" s="68">
        <f>ROW()</f>
        <v>12</v>
      </c>
      <c r="B12" s="129" t="s">
        <v>579</v>
      </c>
      <c r="C12" s="130"/>
      <c r="D12" s="131"/>
      <c r="E12" s="132">
        <v>875974.2938849926</v>
      </c>
      <c r="F12" s="133"/>
      <c r="G12" s="132">
        <f t="shared" si="2"/>
        <v>66749.24119403644</v>
      </c>
      <c r="H12" s="132">
        <v>5279.4970692396164</v>
      </c>
      <c r="I12" s="132">
        <f t="shared" si="0"/>
        <v>61469.744124796824</v>
      </c>
      <c r="J12" s="133"/>
      <c r="K12" s="132">
        <f t="shared" si="1"/>
        <v>81514.372984903559</v>
      </c>
    </row>
    <row r="13" spans="1:11" x14ac:dyDescent="0.3">
      <c r="A13" s="68">
        <f>ROW()</f>
        <v>13</v>
      </c>
      <c r="B13" s="141" t="s">
        <v>701</v>
      </c>
      <c r="C13" s="130"/>
      <c r="D13" s="131"/>
      <c r="E13" s="132">
        <v>-105391.52511930466</v>
      </c>
      <c r="F13" s="133"/>
      <c r="G13" s="132">
        <f t="shared" si="2"/>
        <v>-8030.8342140910154</v>
      </c>
      <c r="H13" s="132">
        <v>-635.19472193717957</v>
      </c>
      <c r="I13" s="132">
        <f t="shared" si="0"/>
        <v>-7395.6394921538358</v>
      </c>
      <c r="J13" s="133"/>
      <c r="K13" s="132">
        <f t="shared" si="1"/>
        <v>-9807.2787614243734</v>
      </c>
    </row>
    <row r="14" spans="1:11" ht="15" thickBot="1" x14ac:dyDescent="0.35">
      <c r="A14" s="68">
        <f>ROW()</f>
        <v>14</v>
      </c>
      <c r="B14" s="141" t="s">
        <v>702</v>
      </c>
      <c r="D14" s="83"/>
      <c r="E14" s="132"/>
      <c r="F14" s="133"/>
      <c r="G14" s="132">
        <f t="shared" si="2"/>
        <v>0</v>
      </c>
      <c r="H14" s="132">
        <v>488203.2824832201</v>
      </c>
      <c r="I14" s="132">
        <f t="shared" si="0"/>
        <v>-488203.2824832201</v>
      </c>
      <c r="J14" s="133"/>
      <c r="K14" s="132">
        <f t="shared" si="1"/>
        <v>-647401.17316899565</v>
      </c>
    </row>
    <row r="15" spans="1:11" ht="15" thickBot="1" x14ac:dyDescent="0.35">
      <c r="A15" s="68">
        <f>ROW()</f>
        <v>15</v>
      </c>
      <c r="B15" s="141" t="s">
        <v>623</v>
      </c>
      <c r="D15" s="83"/>
      <c r="E15" s="132"/>
      <c r="F15" s="142">
        <v>7.5700000000000003E-2</v>
      </c>
      <c r="G15" s="132">
        <f>SUM(E8:E13)*(0.0757-0.0762)</f>
        <v>-1056721.6243098199</v>
      </c>
      <c r="H15" s="132"/>
      <c r="I15" s="132">
        <f t="shared" si="0"/>
        <v>-1056721.6243098199</v>
      </c>
      <c r="J15" s="133"/>
      <c r="K15" s="132">
        <f t="shared" si="1"/>
        <v>-1401307.2911174821</v>
      </c>
    </row>
    <row r="16" spans="1:11" ht="15" thickBot="1" x14ac:dyDescent="0.35">
      <c r="A16" s="68">
        <f>ROW()</f>
        <v>16</v>
      </c>
      <c r="B16" s="161" t="s">
        <v>703</v>
      </c>
      <c r="C16" s="162"/>
      <c r="D16" s="163"/>
      <c r="E16" s="164"/>
      <c r="F16" s="165"/>
      <c r="G16" s="164">
        <f t="shared" ref="G16" si="4">$F$9*E16</f>
        <v>0</v>
      </c>
      <c r="H16" s="164"/>
      <c r="I16" s="166">
        <f t="shared" si="0"/>
        <v>0</v>
      </c>
      <c r="J16" s="165"/>
      <c r="K16" s="164">
        <f t="shared" si="1"/>
        <v>0</v>
      </c>
    </row>
    <row r="17" spans="1:13" ht="15" thickBot="1" x14ac:dyDescent="0.35">
      <c r="A17" s="68">
        <f>ROW()</f>
        <v>17</v>
      </c>
      <c r="B17" s="167" t="s">
        <v>706</v>
      </c>
      <c r="D17" s="172"/>
      <c r="E17" s="170"/>
      <c r="F17" s="173">
        <v>7.4800000000000005E-2</v>
      </c>
      <c r="G17" s="170">
        <f>SUM(E8:E18)*(0.0748-0.0757)</f>
        <v>-1902098.9237576697</v>
      </c>
      <c r="H17" s="170"/>
      <c r="I17" s="170">
        <f>+G17-H17</f>
        <v>-1902098.9237576697</v>
      </c>
      <c r="J17" s="171"/>
      <c r="K17" s="170">
        <f>+I17/$J$8</f>
        <v>-2522353.1240114598</v>
      </c>
      <c r="L17" s="84">
        <f>SUM(K8:K17)</f>
        <v>81680761.748097539</v>
      </c>
      <c r="M17" t="s">
        <v>722</v>
      </c>
    </row>
    <row r="18" spans="1:13" x14ac:dyDescent="0.3">
      <c r="A18" s="68">
        <f>ROW()</f>
        <v>18</v>
      </c>
      <c r="B18" s="167" t="s">
        <v>704</v>
      </c>
      <c r="C18" s="168"/>
      <c r="D18" s="169" t="s">
        <v>705</v>
      </c>
      <c r="E18" s="170"/>
      <c r="F18" s="171"/>
      <c r="G18" s="170">
        <v>0</v>
      </c>
      <c r="H18" s="170">
        <v>-1090334.6475723572</v>
      </c>
      <c r="I18" s="170">
        <f>+G18-H18</f>
        <v>1090334.6475723572</v>
      </c>
      <c r="J18" s="171"/>
      <c r="K18" s="170">
        <f t="shared" si="1"/>
        <v>1445881.163261964</v>
      </c>
    </row>
    <row r="19" spans="1:13" ht="15" thickBot="1" x14ac:dyDescent="0.35">
      <c r="A19" s="68">
        <f>ROW()</f>
        <v>19</v>
      </c>
      <c r="B19" s="167" t="s">
        <v>707</v>
      </c>
      <c r="D19" s="169" t="s">
        <v>708</v>
      </c>
      <c r="E19" s="170">
        <v>-875974</v>
      </c>
      <c r="F19" s="174"/>
      <c r="G19" s="170">
        <f>E19*F17</f>
        <v>-65522.855200000005</v>
      </c>
      <c r="H19" s="170">
        <v>-5279</v>
      </c>
      <c r="I19" s="170">
        <f t="shared" ref="I19:I29" si="5">+G19-H19</f>
        <v>-60243.855200000005</v>
      </c>
      <c r="J19" s="171"/>
      <c r="K19" s="170">
        <f t="shared" si="1"/>
        <v>-79888.73473836921</v>
      </c>
    </row>
    <row r="20" spans="1:13" ht="15" thickBot="1" x14ac:dyDescent="0.35">
      <c r="A20" s="68">
        <f>ROW()</f>
        <v>20</v>
      </c>
      <c r="B20" s="167" t="s">
        <v>709</v>
      </c>
      <c r="D20" s="169" t="s">
        <v>711</v>
      </c>
      <c r="E20" s="170"/>
      <c r="F20" s="173">
        <v>7.4399999999999994E-2</v>
      </c>
      <c r="G20" s="170">
        <f>SUM(E8:E20)*(0.0744-0.0748)</f>
        <v>-845026.90984787932</v>
      </c>
      <c r="H20" s="170">
        <v>-177455.65104336306</v>
      </c>
      <c r="I20" s="170">
        <f t="shared" si="5"/>
        <v>-667571.25880451628</v>
      </c>
      <c r="J20" s="171"/>
      <c r="K20" s="170">
        <f t="shared" si="1"/>
        <v>-885259.13616486511</v>
      </c>
    </row>
    <row r="21" spans="1:13" x14ac:dyDescent="0.3">
      <c r="A21" s="68">
        <f>ROW()</f>
        <v>21</v>
      </c>
      <c r="B21" s="167" t="s">
        <v>712</v>
      </c>
      <c r="D21" s="184" t="s">
        <v>718</v>
      </c>
      <c r="E21" s="170">
        <v>5211553.4892662652</v>
      </c>
      <c r="F21" s="174"/>
      <c r="G21" s="170">
        <f>+E21*$F$20</f>
        <v>387739.57960141008</v>
      </c>
      <c r="H21" s="170">
        <v>-1487916.4277333245</v>
      </c>
      <c r="I21" s="170">
        <f t="shared" si="5"/>
        <v>1875656.0073347345</v>
      </c>
      <c r="J21" s="171"/>
      <c r="K21" s="170">
        <f t="shared" si="1"/>
        <v>2487287.4541799459</v>
      </c>
    </row>
    <row r="22" spans="1:13" x14ac:dyDescent="0.3">
      <c r="A22" s="68">
        <f>ROW()</f>
        <v>22</v>
      </c>
      <c r="B22" s="167" t="s">
        <v>715</v>
      </c>
      <c r="D22" s="184" t="s">
        <v>718</v>
      </c>
      <c r="E22" s="170">
        <v>13192702.305427074</v>
      </c>
      <c r="F22" s="174"/>
      <c r="G22" s="170">
        <f>+E22*$F$20</f>
        <v>981537.05152377428</v>
      </c>
      <c r="H22" s="170">
        <v>-799313.84784281254</v>
      </c>
      <c r="I22" s="170">
        <f t="shared" si="5"/>
        <v>1780850.8993665869</v>
      </c>
      <c r="J22" s="171"/>
      <c r="K22" s="170">
        <f t="shared" si="1"/>
        <v>2361567.4102490619</v>
      </c>
    </row>
    <row r="23" spans="1:13" x14ac:dyDescent="0.3">
      <c r="A23" s="68">
        <f>ROW()</f>
        <v>23</v>
      </c>
      <c r="B23" s="167" t="s">
        <v>716</v>
      </c>
      <c r="D23" s="184" t="s">
        <v>718</v>
      </c>
      <c r="E23" s="170">
        <v>11515113.718546629</v>
      </c>
      <c r="F23" s="174"/>
      <c r="G23" s="170">
        <f>+E23*$F$20</f>
        <v>856724.46065986913</v>
      </c>
      <c r="H23" s="170">
        <v>63930.058711528778</v>
      </c>
      <c r="I23" s="170">
        <f t="shared" si="5"/>
        <v>792794.40194834035</v>
      </c>
      <c r="J23" s="171"/>
      <c r="K23" s="170">
        <f t="shared" si="1"/>
        <v>1051316.2125672696</v>
      </c>
    </row>
    <row r="24" spans="1:13" x14ac:dyDescent="0.3">
      <c r="A24" s="68">
        <f>ROW()</f>
        <v>24</v>
      </c>
      <c r="B24" s="167" t="s">
        <v>717</v>
      </c>
      <c r="D24" s="184" t="s">
        <v>718</v>
      </c>
      <c r="E24" s="170">
        <v>162081.65762114525</v>
      </c>
      <c r="F24" s="174"/>
      <c r="G24" s="170">
        <f>+E24*$F$20</f>
        <v>12058.875327013206</v>
      </c>
      <c r="H24" s="170">
        <v>-13753.453279733658</v>
      </c>
      <c r="I24" s="170">
        <f t="shared" si="5"/>
        <v>25812.328606746865</v>
      </c>
      <c r="J24" s="171"/>
      <c r="K24" s="170">
        <f t="shared" si="1"/>
        <v>34229.454044700964</v>
      </c>
    </row>
    <row r="25" spans="1:13" x14ac:dyDescent="0.3">
      <c r="A25" s="68">
        <f>ROW()</f>
        <v>25</v>
      </c>
      <c r="B25" s="167"/>
      <c r="D25" s="172"/>
      <c r="E25" s="170"/>
      <c r="F25" s="174"/>
      <c r="G25" s="170"/>
      <c r="H25" s="170"/>
      <c r="I25" s="170">
        <f t="shared" si="5"/>
        <v>0</v>
      </c>
      <c r="J25" s="171"/>
      <c r="K25" s="170">
        <f t="shared" si="1"/>
        <v>0</v>
      </c>
    </row>
    <row r="26" spans="1:13" x14ac:dyDescent="0.3">
      <c r="A26" s="68">
        <f>ROW()</f>
        <v>26</v>
      </c>
      <c r="B26" s="167"/>
      <c r="D26" s="172"/>
      <c r="E26" s="170"/>
      <c r="F26" s="174"/>
      <c r="G26" s="170"/>
      <c r="H26" s="170"/>
      <c r="I26" s="170">
        <f t="shared" si="5"/>
        <v>0</v>
      </c>
      <c r="J26" s="171"/>
      <c r="K26" s="170">
        <f t="shared" si="1"/>
        <v>0</v>
      </c>
    </row>
    <row r="27" spans="1:13" x14ac:dyDescent="0.3">
      <c r="A27" s="68">
        <f>ROW()</f>
        <v>27</v>
      </c>
      <c r="B27" s="167"/>
      <c r="D27" s="172"/>
      <c r="E27" s="170"/>
      <c r="F27" s="174"/>
      <c r="G27" s="170"/>
      <c r="H27" s="170"/>
      <c r="I27" s="170">
        <f t="shared" si="5"/>
        <v>0</v>
      </c>
      <c r="J27" s="171"/>
      <c r="K27" s="170">
        <f t="shared" si="1"/>
        <v>0</v>
      </c>
    </row>
    <row r="28" spans="1:13" x14ac:dyDescent="0.3">
      <c r="A28" s="68">
        <f>ROW()</f>
        <v>28</v>
      </c>
      <c r="B28" s="167"/>
      <c r="D28" s="172"/>
      <c r="E28" s="170"/>
      <c r="F28" s="174"/>
      <c r="G28" s="170"/>
      <c r="H28" s="170"/>
      <c r="I28" s="170">
        <f t="shared" si="5"/>
        <v>0</v>
      </c>
      <c r="J28" s="171"/>
      <c r="K28" s="170">
        <f t="shared" si="1"/>
        <v>0</v>
      </c>
    </row>
    <row r="29" spans="1:13" s="80" customFormat="1" outlineLevel="1" x14ac:dyDescent="0.3">
      <c r="A29" s="68">
        <f>ROW()</f>
        <v>29</v>
      </c>
      <c r="B29" s="82"/>
      <c r="C29" s="81"/>
      <c r="D29" s="175"/>
      <c r="E29" s="170"/>
      <c r="F29" s="171"/>
      <c r="G29" s="170">
        <f t="shared" ref="G29:G30" si="6">+E29*$F$8</f>
        <v>0</v>
      </c>
      <c r="H29" s="170"/>
      <c r="I29" s="170">
        <f t="shared" si="5"/>
        <v>0</v>
      </c>
      <c r="J29" s="171"/>
      <c r="K29" s="170">
        <f t="shared" si="1"/>
        <v>0</v>
      </c>
    </row>
    <row r="30" spans="1:13" s="80" customFormat="1" x14ac:dyDescent="0.3">
      <c r="A30" s="68">
        <f>ROW()</f>
        <v>30</v>
      </c>
      <c r="B30" s="80" t="s">
        <v>533</v>
      </c>
      <c r="C30" s="81"/>
      <c r="D30" s="176"/>
      <c r="E30" s="177"/>
      <c r="F30" s="176"/>
      <c r="G30" s="178">
        <f t="shared" si="6"/>
        <v>0</v>
      </c>
      <c r="H30" s="177"/>
      <c r="I30" s="178">
        <f t="shared" ref="I30" si="7">+G30-H30</f>
        <v>0</v>
      </c>
      <c r="J30" s="176"/>
      <c r="K30" s="170"/>
    </row>
    <row r="31" spans="1:13" x14ac:dyDescent="0.3">
      <c r="A31" s="79"/>
      <c r="B31" s="74" t="s">
        <v>532</v>
      </c>
      <c r="C31" s="78"/>
      <c r="D31" s="74"/>
      <c r="E31" s="77">
        <f>SUM(E8:E30)</f>
        <v>2142648725.7904987</v>
      </c>
      <c r="F31" s="74"/>
      <c r="G31" s="77">
        <f>SUM(G8:G30)</f>
        <v>159413065.19881311</v>
      </c>
      <c r="H31" s="77">
        <f>SUM(H8:H30)</f>
        <v>92980214.636033714</v>
      </c>
      <c r="I31" s="77">
        <f>SUM(I8:I30)</f>
        <v>66432850.562779367</v>
      </c>
      <c r="J31" s="74"/>
      <c r="K31" s="77">
        <f>SUM(K8:K30)</f>
        <v>88095895.571497262</v>
      </c>
      <c r="L31" s="55" t="str">
        <f>IF(K31&gt;0,"&lt;==DEFICIENCY","&lt;==SURPLUS")</f>
        <v>&lt;==DEFICIENCY</v>
      </c>
    </row>
    <row r="32" spans="1:13" x14ac:dyDescent="0.3">
      <c r="A32" s="68"/>
      <c r="B32" t="s">
        <v>531</v>
      </c>
      <c r="E32" s="76">
        <f>+'COC, Def, ConvF'!C12</f>
        <v>2142648725.4966133</v>
      </c>
      <c r="G32" s="76">
        <f>+'COC, Def, ConvF'!C15</f>
        <v>159413065.17694801</v>
      </c>
      <c r="H32" s="76">
        <f>+'COC, Def, ConvF'!C17</f>
        <v>92980214.138964653</v>
      </c>
      <c r="I32" s="76">
        <f>+'COC, Def, ConvF'!C18</f>
        <v>66432851.037983358</v>
      </c>
      <c r="J32" s="76"/>
      <c r="K32" s="76">
        <f>+'COC, Def, ConvF'!C21</f>
        <v>88095896</v>
      </c>
      <c r="L32" s="84">
        <f>K32-L17</f>
        <v>6415134.2519024611</v>
      </c>
    </row>
    <row r="33" spans="1:14" x14ac:dyDescent="0.3">
      <c r="A33" s="68"/>
      <c r="B33" t="s">
        <v>530</v>
      </c>
      <c r="E33" s="75">
        <f>ROUND(E31-E32,0)</f>
        <v>0</v>
      </c>
      <c r="G33" s="75">
        <f>ROUND(G31-G32,0)</f>
        <v>0</v>
      </c>
      <c r="H33" s="75">
        <f>ROUND(H31-H32,0)</f>
        <v>0</v>
      </c>
      <c r="I33" s="75">
        <f>ROUND(I31-I32,0)</f>
        <v>0</v>
      </c>
      <c r="K33" s="75">
        <f>ROUND(K31-K32,0)</f>
        <v>0</v>
      </c>
    </row>
    <row r="34" spans="1:14" x14ac:dyDescent="0.3">
      <c r="A34" s="68"/>
      <c r="J34" s="70"/>
      <c r="K34" s="73"/>
    </row>
    <row r="35" spans="1:14" x14ac:dyDescent="0.3">
      <c r="A35" s="68"/>
      <c r="J35" s="70"/>
      <c r="K35" s="73"/>
      <c r="L35" s="71"/>
      <c r="M35" s="70"/>
      <c r="N35" s="70"/>
    </row>
    <row r="36" spans="1:14" x14ac:dyDescent="0.3">
      <c r="A36" s="68"/>
      <c r="J36" s="70"/>
      <c r="K36" s="73"/>
      <c r="L36" s="71"/>
      <c r="M36" s="70"/>
      <c r="N36" s="70"/>
    </row>
    <row r="37" spans="1:14" x14ac:dyDescent="0.3">
      <c r="A37" s="68"/>
      <c r="J37" s="70"/>
      <c r="K37" s="73"/>
      <c r="L37" s="69"/>
      <c r="M37" s="70"/>
      <c r="N37" s="70"/>
    </row>
    <row r="38" spans="1:14" x14ac:dyDescent="0.3">
      <c r="A38" s="68"/>
      <c r="J38" s="70"/>
      <c r="K38" s="70"/>
      <c r="L38" s="72"/>
      <c r="M38" s="72"/>
      <c r="N38" s="72"/>
    </row>
    <row r="39" spans="1:14" x14ac:dyDescent="0.3">
      <c r="A39" s="68"/>
      <c r="J39" s="70"/>
      <c r="K39" s="70"/>
      <c r="L39" s="70"/>
      <c r="M39" s="70"/>
      <c r="N39" s="70"/>
    </row>
    <row r="40" spans="1:14" x14ac:dyDescent="0.3">
      <c r="A40" s="68"/>
      <c r="J40" s="70"/>
      <c r="K40" s="70"/>
      <c r="L40" s="70"/>
      <c r="M40" s="70"/>
      <c r="N40" s="70"/>
    </row>
    <row r="41" spans="1:14" x14ac:dyDescent="0.3">
      <c r="A41" s="68"/>
      <c r="J41" s="70"/>
      <c r="K41" s="70"/>
      <c r="L41" s="71"/>
      <c r="M41" s="71"/>
      <c r="N41" s="69"/>
    </row>
    <row r="42" spans="1:14" x14ac:dyDescent="0.3">
      <c r="A42" s="68"/>
      <c r="J42" s="70"/>
      <c r="K42" s="70"/>
      <c r="L42" s="69"/>
      <c r="M42" s="69"/>
      <c r="N42" s="69"/>
    </row>
    <row r="43" spans="1:14" x14ac:dyDescent="0.3">
      <c r="A43" s="68"/>
      <c r="J43" s="70"/>
      <c r="K43" s="70"/>
      <c r="L43" s="69"/>
      <c r="M43" s="69"/>
      <c r="N43" s="69"/>
    </row>
    <row r="44" spans="1:14" x14ac:dyDescent="0.3">
      <c r="A44" s="68"/>
    </row>
    <row r="45" spans="1:14" x14ac:dyDescent="0.3">
      <c r="A45" s="68"/>
    </row>
    <row r="46" spans="1:14" x14ac:dyDescent="0.3">
      <c r="A46" s="68"/>
    </row>
    <row r="47" spans="1:14" x14ac:dyDescent="0.3">
      <c r="A47" s="68"/>
    </row>
    <row r="48" spans="1:14" x14ac:dyDescent="0.3">
      <c r="A48" s="68"/>
    </row>
    <row r="49" spans="1:1" x14ac:dyDescent="0.3">
      <c r="A49" s="68"/>
    </row>
    <row r="50" spans="1:1" x14ac:dyDescent="0.3">
      <c r="A50" s="68"/>
    </row>
    <row r="51" spans="1:1" x14ac:dyDescent="0.3">
      <c r="A51" s="68"/>
    </row>
    <row r="52" spans="1:1" x14ac:dyDescent="0.3">
      <c r="A52" s="68"/>
    </row>
    <row r="53" spans="1:1" x14ac:dyDescent="0.3">
      <c r="A53" s="68"/>
    </row>
    <row r="54" spans="1:1" x14ac:dyDescent="0.3">
      <c r="A54" s="68"/>
    </row>
    <row r="55" spans="1:1" x14ac:dyDescent="0.3">
      <c r="A55" s="68"/>
    </row>
    <row r="56" spans="1:1" x14ac:dyDescent="0.3">
      <c r="A56" s="68"/>
    </row>
    <row r="57" spans="1:1" x14ac:dyDescent="0.3">
      <c r="A57" s="68"/>
    </row>
    <row r="58" spans="1:1" x14ac:dyDescent="0.3">
      <c r="A58" s="68"/>
    </row>
    <row r="59" spans="1:1" x14ac:dyDescent="0.3">
      <c r="A59" s="68"/>
    </row>
    <row r="60" spans="1:1" x14ac:dyDescent="0.3">
      <c r="A60" s="68"/>
    </row>
    <row r="61" spans="1:1" x14ac:dyDescent="0.3">
      <c r="A61" s="68"/>
    </row>
    <row r="62" spans="1:1" x14ac:dyDescent="0.3">
      <c r="A62" s="68"/>
    </row>
    <row r="63" spans="1:1" x14ac:dyDescent="0.3">
      <c r="A63" s="68"/>
    </row>
    <row r="64" spans="1:1" x14ac:dyDescent="0.3">
      <c r="A64" s="68"/>
    </row>
    <row r="65" spans="1:1" x14ac:dyDescent="0.3">
      <c r="A65" s="68"/>
    </row>
    <row r="66" spans="1:1" x14ac:dyDescent="0.3">
      <c r="A66" s="68"/>
    </row>
    <row r="67" spans="1:1" x14ac:dyDescent="0.3">
      <c r="A67" s="68"/>
    </row>
    <row r="68" spans="1:1" x14ac:dyDescent="0.3">
      <c r="A68" s="68"/>
    </row>
    <row r="69" spans="1:1" x14ac:dyDescent="0.3">
      <c r="A69" s="68"/>
    </row>
    <row r="70" spans="1:1" x14ac:dyDescent="0.3">
      <c r="A70" s="68"/>
    </row>
    <row r="71" spans="1:1" x14ac:dyDescent="0.3">
      <c r="A71" s="68"/>
    </row>
    <row r="72" spans="1:1" x14ac:dyDescent="0.3">
      <c r="A72" s="68"/>
    </row>
    <row r="73" spans="1:1" x14ac:dyDescent="0.3">
      <c r="A73" s="68"/>
    </row>
    <row r="74" spans="1:1" x14ac:dyDescent="0.3">
      <c r="A74" s="68"/>
    </row>
    <row r="75" spans="1:1" x14ac:dyDescent="0.3">
      <c r="A75" s="68"/>
    </row>
    <row r="76" spans="1:1" x14ac:dyDescent="0.3">
      <c r="A76" s="68"/>
    </row>
    <row r="77" spans="1:1" x14ac:dyDescent="0.3">
      <c r="A77" s="68"/>
    </row>
    <row r="78" spans="1:1" x14ac:dyDescent="0.3">
      <c r="A78" s="68"/>
    </row>
    <row r="79" spans="1:1" x14ac:dyDescent="0.3">
      <c r="A79" s="68"/>
    </row>
    <row r="80" spans="1:1" x14ac:dyDescent="0.3">
      <c r="A80" s="68"/>
    </row>
    <row r="81" spans="1:1" x14ac:dyDescent="0.3">
      <c r="A81" s="68"/>
    </row>
    <row r="82" spans="1:1" x14ac:dyDescent="0.3">
      <c r="A82" s="68"/>
    </row>
    <row r="83" spans="1:1" x14ac:dyDescent="0.3">
      <c r="A83" s="68"/>
    </row>
    <row r="84" spans="1:1" x14ac:dyDescent="0.3">
      <c r="A84" s="68"/>
    </row>
    <row r="85" spans="1:1" x14ac:dyDescent="0.3">
      <c r="A85" s="68"/>
    </row>
    <row r="86" spans="1:1" x14ac:dyDescent="0.3">
      <c r="A86" s="68"/>
    </row>
    <row r="87" spans="1:1" x14ac:dyDescent="0.3">
      <c r="A87" s="68"/>
    </row>
    <row r="88" spans="1:1" x14ac:dyDescent="0.3">
      <c r="A88" s="68"/>
    </row>
    <row r="89" spans="1:1" x14ac:dyDescent="0.3">
      <c r="A89" s="68"/>
    </row>
    <row r="90" spans="1:1" x14ac:dyDescent="0.3">
      <c r="A90" s="68"/>
    </row>
    <row r="91" spans="1:1" x14ac:dyDescent="0.3">
      <c r="A91" s="68"/>
    </row>
    <row r="92" spans="1:1" x14ac:dyDescent="0.3">
      <c r="A92" s="68"/>
    </row>
    <row r="93" spans="1:1" x14ac:dyDescent="0.3">
      <c r="A93" s="68"/>
    </row>
    <row r="94" spans="1:1" x14ac:dyDescent="0.3">
      <c r="A94" s="68"/>
    </row>
    <row r="95" spans="1:1" x14ac:dyDescent="0.3">
      <c r="A95" s="68"/>
    </row>
    <row r="96" spans="1:1" x14ac:dyDescent="0.3">
      <c r="A96" s="68"/>
    </row>
    <row r="97" spans="1:1" x14ac:dyDescent="0.3">
      <c r="A97" s="68"/>
    </row>
    <row r="98" spans="1:1" x14ac:dyDescent="0.3">
      <c r="A98" s="68"/>
    </row>
    <row r="99" spans="1:1" x14ac:dyDescent="0.3">
      <c r="A99" s="68"/>
    </row>
    <row r="100" spans="1:1" x14ac:dyDescent="0.3">
      <c r="A100" s="68"/>
    </row>
    <row r="101" spans="1:1" x14ac:dyDescent="0.3">
      <c r="A101" s="68"/>
    </row>
    <row r="102" spans="1:1" x14ac:dyDescent="0.3">
      <c r="A102" s="68"/>
    </row>
    <row r="103" spans="1:1" x14ac:dyDescent="0.3">
      <c r="A103" s="68"/>
    </row>
    <row r="104" spans="1:1" x14ac:dyDescent="0.3">
      <c r="A104" s="68"/>
    </row>
    <row r="105" spans="1:1" x14ac:dyDescent="0.3">
      <c r="A105" s="68"/>
    </row>
    <row r="106" spans="1:1" x14ac:dyDescent="0.3">
      <c r="A106" s="68"/>
    </row>
    <row r="107" spans="1:1" x14ac:dyDescent="0.3">
      <c r="A107" s="68"/>
    </row>
    <row r="108" spans="1:1" x14ac:dyDescent="0.3">
      <c r="A108" s="68"/>
    </row>
    <row r="109" spans="1:1" x14ac:dyDescent="0.3">
      <c r="A109" s="68"/>
    </row>
    <row r="110" spans="1:1" x14ac:dyDescent="0.3">
      <c r="A110" s="68"/>
    </row>
    <row r="111" spans="1:1" x14ac:dyDescent="0.3">
      <c r="A111" s="68"/>
    </row>
    <row r="112" spans="1:1" x14ac:dyDescent="0.3">
      <c r="A112" s="68"/>
    </row>
    <row r="113" spans="1:1" x14ac:dyDescent="0.3">
      <c r="A113" s="68"/>
    </row>
    <row r="114" spans="1:1" x14ac:dyDescent="0.3">
      <c r="A114" s="68"/>
    </row>
    <row r="115" spans="1:1" x14ac:dyDescent="0.3">
      <c r="A115" s="68"/>
    </row>
    <row r="116" spans="1:1" x14ac:dyDescent="0.3">
      <c r="A116" s="68"/>
    </row>
    <row r="117" spans="1:1" x14ac:dyDescent="0.3">
      <c r="A117" s="68"/>
    </row>
    <row r="118" spans="1:1" x14ac:dyDescent="0.3">
      <c r="A118" s="68"/>
    </row>
    <row r="119" spans="1:1" x14ac:dyDescent="0.3">
      <c r="A119" s="68"/>
    </row>
    <row r="120" spans="1:1" x14ac:dyDescent="0.3">
      <c r="A120" s="68"/>
    </row>
    <row r="121" spans="1:1" x14ac:dyDescent="0.3">
      <c r="A121" s="68"/>
    </row>
    <row r="122" spans="1:1" x14ac:dyDescent="0.3">
      <c r="A122" s="68"/>
    </row>
    <row r="123" spans="1:1" x14ac:dyDescent="0.3">
      <c r="A123" s="68"/>
    </row>
    <row r="124" spans="1:1" x14ac:dyDescent="0.3">
      <c r="A124" s="68"/>
    </row>
    <row r="125" spans="1:1" x14ac:dyDescent="0.3">
      <c r="A125" s="68"/>
    </row>
    <row r="126" spans="1:1" x14ac:dyDescent="0.3">
      <c r="A126" s="68"/>
    </row>
    <row r="127" spans="1:1" x14ac:dyDescent="0.3">
      <c r="A127" s="68"/>
    </row>
    <row r="128" spans="1:1" x14ac:dyDescent="0.3">
      <c r="A128" s="68"/>
    </row>
    <row r="129" spans="1:1" x14ac:dyDescent="0.3">
      <c r="A129" s="68"/>
    </row>
    <row r="130" spans="1:1" x14ac:dyDescent="0.3">
      <c r="A130" s="68"/>
    </row>
    <row r="131" spans="1:1" x14ac:dyDescent="0.3">
      <c r="A131" s="68"/>
    </row>
    <row r="132" spans="1:1" x14ac:dyDescent="0.3">
      <c r="A132" s="68"/>
    </row>
    <row r="133" spans="1:1" x14ac:dyDescent="0.3">
      <c r="A133" s="68"/>
    </row>
    <row r="134" spans="1:1" x14ac:dyDescent="0.3">
      <c r="A134" s="68"/>
    </row>
    <row r="135" spans="1:1" x14ac:dyDescent="0.3">
      <c r="A135" s="68"/>
    </row>
    <row r="136" spans="1:1" x14ac:dyDescent="0.3">
      <c r="A136" s="68"/>
    </row>
    <row r="137" spans="1:1" x14ac:dyDescent="0.3">
      <c r="A137" s="68"/>
    </row>
    <row r="138" spans="1:1" x14ac:dyDescent="0.3">
      <c r="A138" s="68"/>
    </row>
    <row r="139" spans="1:1" x14ac:dyDescent="0.3">
      <c r="A139" s="68"/>
    </row>
    <row r="140" spans="1:1" x14ac:dyDescent="0.3">
      <c r="A140" s="68"/>
    </row>
    <row r="141" spans="1:1" x14ac:dyDescent="0.3">
      <c r="A141" s="68"/>
    </row>
    <row r="142" spans="1:1" x14ac:dyDescent="0.3">
      <c r="A142" s="68"/>
    </row>
    <row r="143" spans="1:1" x14ac:dyDescent="0.3">
      <c r="A143" s="68"/>
    </row>
    <row r="144" spans="1:1" x14ac:dyDescent="0.3">
      <c r="A144" s="68"/>
    </row>
    <row r="145" spans="1:1" x14ac:dyDescent="0.3">
      <c r="A145" s="68"/>
    </row>
    <row r="146" spans="1:1" x14ac:dyDescent="0.3">
      <c r="A146" s="68"/>
    </row>
    <row r="147" spans="1:1" x14ac:dyDescent="0.3">
      <c r="A147" s="68"/>
    </row>
    <row r="148" spans="1:1" x14ac:dyDescent="0.3">
      <c r="A148" s="68"/>
    </row>
    <row r="149" spans="1:1" x14ac:dyDescent="0.3">
      <c r="A149" s="68"/>
    </row>
    <row r="150" spans="1:1" x14ac:dyDescent="0.3">
      <c r="A150" s="68"/>
    </row>
    <row r="151" spans="1:1" x14ac:dyDescent="0.3">
      <c r="A151" s="68"/>
    </row>
    <row r="152" spans="1:1" x14ac:dyDescent="0.3">
      <c r="A152" s="68"/>
    </row>
    <row r="153" spans="1:1" x14ac:dyDescent="0.3">
      <c r="A153" s="68"/>
    </row>
    <row r="154" spans="1:1" x14ac:dyDescent="0.3">
      <c r="A154" s="68"/>
    </row>
    <row r="155" spans="1:1" x14ac:dyDescent="0.3">
      <c r="A155" s="68"/>
    </row>
    <row r="156" spans="1:1" x14ac:dyDescent="0.3">
      <c r="A156" s="68"/>
    </row>
    <row r="157" spans="1:1" x14ac:dyDescent="0.3">
      <c r="A157" s="68"/>
    </row>
    <row r="158" spans="1:1" x14ac:dyDescent="0.3">
      <c r="A158" s="68"/>
    </row>
    <row r="159" spans="1:1" x14ac:dyDescent="0.3">
      <c r="A159" s="68"/>
    </row>
    <row r="160" spans="1:1" x14ac:dyDescent="0.3">
      <c r="A160" s="68"/>
    </row>
    <row r="161" spans="1:1" x14ac:dyDescent="0.3">
      <c r="A161" s="68"/>
    </row>
    <row r="162" spans="1:1" x14ac:dyDescent="0.3">
      <c r="A162" s="68"/>
    </row>
    <row r="163" spans="1:1" x14ac:dyDescent="0.3">
      <c r="A163" s="68"/>
    </row>
    <row r="164" spans="1:1" x14ac:dyDescent="0.3">
      <c r="A164" s="68"/>
    </row>
    <row r="165" spans="1:1" x14ac:dyDescent="0.3">
      <c r="A165" s="68"/>
    </row>
    <row r="166" spans="1:1" x14ac:dyDescent="0.3">
      <c r="A166" s="68"/>
    </row>
    <row r="167" spans="1:1" x14ac:dyDescent="0.3">
      <c r="A167" s="68"/>
    </row>
    <row r="168" spans="1:1" x14ac:dyDescent="0.3">
      <c r="A168" s="68"/>
    </row>
    <row r="169" spans="1:1" x14ac:dyDescent="0.3">
      <c r="A169" s="68"/>
    </row>
    <row r="170" spans="1:1" x14ac:dyDescent="0.3">
      <c r="A170" s="68"/>
    </row>
    <row r="171" spans="1:1" x14ac:dyDescent="0.3">
      <c r="A171" s="68"/>
    </row>
    <row r="172" spans="1:1" x14ac:dyDescent="0.3">
      <c r="A172" s="68"/>
    </row>
    <row r="173" spans="1:1" x14ac:dyDescent="0.3">
      <c r="A173" s="68"/>
    </row>
    <row r="174" spans="1:1" x14ac:dyDescent="0.3">
      <c r="A174" s="68"/>
    </row>
    <row r="175" spans="1:1" x14ac:dyDescent="0.3">
      <c r="A175" s="68"/>
    </row>
    <row r="176" spans="1:1" x14ac:dyDescent="0.3">
      <c r="A176" s="68"/>
    </row>
    <row r="177" spans="1:1" x14ac:dyDescent="0.3">
      <c r="A177" s="68"/>
    </row>
    <row r="178" spans="1:1" x14ac:dyDescent="0.3">
      <c r="A178" s="68"/>
    </row>
    <row r="179" spans="1:1" x14ac:dyDescent="0.3">
      <c r="A179" s="68"/>
    </row>
    <row r="180" spans="1:1" x14ac:dyDescent="0.3">
      <c r="A180" s="68"/>
    </row>
    <row r="181" spans="1:1" x14ac:dyDescent="0.3">
      <c r="A181" s="68"/>
    </row>
    <row r="182" spans="1:1" x14ac:dyDescent="0.3">
      <c r="A182" s="68"/>
    </row>
    <row r="183" spans="1:1" x14ac:dyDescent="0.3">
      <c r="A183" s="68"/>
    </row>
    <row r="184" spans="1:1" x14ac:dyDescent="0.3">
      <c r="A184" s="68"/>
    </row>
    <row r="185" spans="1:1" x14ac:dyDescent="0.3">
      <c r="A185" s="68"/>
    </row>
    <row r="186" spans="1:1" x14ac:dyDescent="0.3">
      <c r="A186" s="68"/>
    </row>
    <row r="187" spans="1:1" x14ac:dyDescent="0.3">
      <c r="A187" s="68"/>
    </row>
    <row r="188" spans="1:1" x14ac:dyDescent="0.3">
      <c r="A188" s="68"/>
    </row>
    <row r="189" spans="1:1" x14ac:dyDescent="0.3">
      <c r="A189" s="68"/>
    </row>
    <row r="190" spans="1:1" x14ac:dyDescent="0.3">
      <c r="A190" s="68"/>
    </row>
    <row r="191" spans="1:1" x14ac:dyDescent="0.3">
      <c r="A191" s="68"/>
    </row>
  </sheetData>
  <conditionalFormatting sqref="E3 G3:I3 K3">
    <cfRule type="cellIs" dxfId="25" priority="15" operator="equal">
      <formula>0</formula>
    </cfRule>
    <cfRule type="cellIs" dxfId="24" priority="16" operator="notEqual">
      <formula>0</formula>
    </cfRule>
  </conditionalFormatting>
  <conditionalFormatting sqref="K3">
    <cfRule type="expression" dxfId="23" priority="14">
      <formula>ISERROR($K$3)</formula>
    </cfRule>
  </conditionalFormatting>
  <conditionalFormatting sqref="I3">
    <cfRule type="expression" dxfId="22" priority="13">
      <formula>ISERROR(I3)</formula>
    </cfRule>
  </conditionalFormatting>
  <conditionalFormatting sqref="K3">
    <cfRule type="expression" dxfId="21" priority="12">
      <formula>ISERROR(K3)</formula>
    </cfRule>
  </conditionalFormatting>
  <conditionalFormatting sqref="E3">
    <cfRule type="expression" dxfId="20" priority="11">
      <formula>ISERROR(E3)</formula>
    </cfRule>
  </conditionalFormatting>
  <conditionalFormatting sqref="G3">
    <cfRule type="expression" dxfId="19" priority="10">
      <formula>ISERROR(G3)</formula>
    </cfRule>
  </conditionalFormatting>
  <conditionalFormatting sqref="H3">
    <cfRule type="expression" dxfId="18" priority="9">
      <formula>ISERROR(H3)</formula>
    </cfRule>
  </conditionalFormatting>
  <conditionalFormatting sqref="G3">
    <cfRule type="expression" dxfId="17" priority="8">
      <formula>ISERROR(G3)</formula>
    </cfRule>
  </conditionalFormatting>
  <conditionalFormatting sqref="H3">
    <cfRule type="expression" dxfId="16" priority="7">
      <formula>ISERROR(H3)</formula>
    </cfRule>
  </conditionalFormatting>
  <conditionalFormatting sqref="I3">
    <cfRule type="expression" dxfId="15" priority="6">
      <formula>ISERROR(I3)</formula>
    </cfRule>
  </conditionalFormatting>
  <conditionalFormatting sqref="K3">
    <cfRule type="expression" dxfId="14" priority="5">
      <formula>ISERROR(K3)</formula>
    </cfRule>
  </conditionalFormatting>
  <conditionalFormatting sqref="I3">
    <cfRule type="expression" dxfId="13" priority="4">
      <formula>ISERROR(I3)</formula>
    </cfRule>
  </conditionalFormatting>
  <conditionalFormatting sqref="K3">
    <cfRule type="expression" dxfId="12" priority="3">
      <formula>ISERROR(K3)</formula>
    </cfRule>
  </conditionalFormatting>
  <conditionalFormatting sqref="K3">
    <cfRule type="expression" dxfId="11" priority="2">
      <formula>ISERROR(K3)</formula>
    </cfRule>
  </conditionalFormatting>
  <conditionalFormatting sqref="K3">
    <cfRule type="expression" dxfId="10" priority="1">
      <formula>ISERROR(K3)</formula>
    </cfRule>
  </conditionalFormatting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zoomScaleNormal="100" workbookViewId="0">
      <pane ySplit="10" topLeftCell="A18" activePane="bottomLeft" state="frozen"/>
      <selection sqref="A1:XFD1048576"/>
      <selection pane="bottomLeft" activeCell="C22" sqref="C22"/>
    </sheetView>
  </sheetViews>
  <sheetFormatPr defaultColWidth="9.109375" defaultRowHeight="13.8" x14ac:dyDescent="0.25"/>
  <cols>
    <col min="1" max="1" width="6.33203125" style="7" customWidth="1"/>
    <col min="2" max="2" width="92" style="7" customWidth="1"/>
    <col min="3" max="3" width="25.33203125" style="7" bestFit="1" customWidth="1"/>
    <col min="4" max="4" width="5.109375" style="7" bestFit="1" customWidth="1"/>
    <col min="5" max="5" width="50" style="7" bestFit="1" customWidth="1"/>
    <col min="6" max="8" width="12.109375" style="7" customWidth="1"/>
    <col min="9" max="9" width="5.109375" style="7" bestFit="1" customWidth="1"/>
    <col min="10" max="10" width="61.6640625" style="7" bestFit="1" customWidth="1"/>
    <col min="11" max="13" width="12.109375" style="7" customWidth="1"/>
    <col min="14" max="14" width="5.44140625" style="7" bestFit="1" customWidth="1"/>
    <col min="15" max="15" width="61.88671875" style="7" bestFit="1" customWidth="1"/>
    <col min="16" max="16" width="25.109375" style="7" bestFit="1" customWidth="1"/>
    <col min="17" max="17" width="9.109375" style="7"/>
    <col min="18" max="18" width="101.109375" style="7" bestFit="1" customWidth="1"/>
    <col min="19" max="19" width="17.5546875" style="7" bestFit="1" customWidth="1"/>
    <col min="20" max="20" width="13" style="7" bestFit="1" customWidth="1"/>
    <col min="21" max="21" width="18.33203125" style="7" bestFit="1" customWidth="1"/>
    <col min="22" max="22" width="14.5546875" style="7" bestFit="1" customWidth="1"/>
    <col min="23" max="16384" width="9.109375" style="7"/>
  </cols>
  <sheetData>
    <row r="1" spans="1:22" x14ac:dyDescent="0.25">
      <c r="C1" s="186" t="s">
        <v>505</v>
      </c>
      <c r="G1" s="34" t="s">
        <v>483</v>
      </c>
      <c r="H1" s="35"/>
      <c r="L1" s="34" t="s">
        <v>502</v>
      </c>
      <c r="M1" s="35"/>
      <c r="N1" s="3"/>
      <c r="O1" s="3"/>
      <c r="P1" s="186" t="s">
        <v>501</v>
      </c>
    </row>
    <row r="2" spans="1:22" x14ac:dyDescent="0.25">
      <c r="A2" s="187" t="str">
        <f>Comp_GAS</f>
        <v>PUGET SOUND ENERGY - NATURAL GAS</v>
      </c>
      <c r="B2" s="187"/>
      <c r="C2" s="187"/>
      <c r="D2" s="187" t="str">
        <f>Comp_GAS</f>
        <v>PUGET SOUND ENERGY - NATURAL GAS</v>
      </c>
      <c r="E2" s="187"/>
      <c r="F2" s="187"/>
      <c r="G2" s="187"/>
      <c r="H2" s="187"/>
      <c r="I2" s="187" t="str">
        <f>Comp_GAS</f>
        <v>PUGET SOUND ENERGY - NATURAL GAS</v>
      </c>
      <c r="J2" s="187"/>
      <c r="K2" s="188"/>
      <c r="L2" s="188"/>
      <c r="M2" s="188"/>
      <c r="N2" s="187" t="str">
        <f>Comp_GAS</f>
        <v>PUGET SOUND ENERGY - NATURAL GAS</v>
      </c>
      <c r="O2" s="2"/>
      <c r="P2" s="2"/>
    </row>
    <row r="3" spans="1:22" x14ac:dyDescent="0.25">
      <c r="A3" s="187" t="s">
        <v>435</v>
      </c>
      <c r="B3" s="187"/>
      <c r="C3" s="187"/>
      <c r="D3" s="187" t="s">
        <v>435</v>
      </c>
      <c r="E3" s="187"/>
      <c r="F3" s="187"/>
      <c r="G3" s="187"/>
      <c r="H3" s="187"/>
      <c r="I3" s="187" t="s">
        <v>435</v>
      </c>
      <c r="J3" s="187"/>
      <c r="K3" s="188"/>
      <c r="L3" s="188"/>
      <c r="M3" s="188"/>
      <c r="N3" s="187" t="s">
        <v>435</v>
      </c>
      <c r="O3" s="2"/>
      <c r="P3" s="2"/>
    </row>
    <row r="4" spans="1:22" x14ac:dyDescent="0.25">
      <c r="A4" s="187" t="str">
        <f>CASE_GAS</f>
        <v>2019 GENERAL RATE CASE</v>
      </c>
      <c r="B4" s="187"/>
      <c r="C4" s="187"/>
      <c r="D4" s="187" t="str">
        <f>CASE_GAS</f>
        <v>2019 GENERAL RATE CASE</v>
      </c>
      <c r="E4" s="187"/>
      <c r="F4" s="187"/>
      <c r="G4" s="187"/>
      <c r="H4" s="187"/>
      <c r="I4" s="187" t="str">
        <f>CASE_GAS</f>
        <v>2019 GENERAL RATE CASE</v>
      </c>
      <c r="J4" s="187"/>
      <c r="K4" s="188"/>
      <c r="L4" s="188"/>
      <c r="M4" s="188"/>
      <c r="N4" s="187" t="str">
        <f>CASE_GAS</f>
        <v>2019 GENERAL RATE CASE</v>
      </c>
      <c r="O4" s="2"/>
      <c r="P4" s="2"/>
    </row>
    <row r="5" spans="1:22" x14ac:dyDescent="0.25">
      <c r="A5" s="187" t="str">
        <f>TESTYEAR_GAS</f>
        <v>12 MONTHS ENDED DECEMBER 31, 2018</v>
      </c>
      <c r="B5" s="187"/>
      <c r="C5" s="187"/>
      <c r="D5" s="187" t="str">
        <f>TESTYEAR_GAS</f>
        <v>12 MONTHS ENDED DECEMBER 31, 2018</v>
      </c>
      <c r="E5" s="187"/>
      <c r="F5" s="187"/>
      <c r="G5" s="187"/>
      <c r="H5" s="187"/>
      <c r="I5" s="187" t="str">
        <f>TESTYEAR_GAS</f>
        <v>12 MONTHS ENDED DECEMBER 31, 2018</v>
      </c>
      <c r="J5" s="187"/>
      <c r="K5" s="188"/>
      <c r="L5" s="188"/>
      <c r="M5" s="188"/>
      <c r="N5" s="187" t="str">
        <f>TESTYEAR_GAS</f>
        <v>12 MONTHS ENDED DECEMBER 31, 2018</v>
      </c>
      <c r="O5" s="2"/>
      <c r="P5" s="2"/>
    </row>
    <row r="6" spans="1:22" s="33" customFormat="1" x14ac:dyDescent="0.25">
      <c r="A6" s="187" t="s">
        <v>66</v>
      </c>
      <c r="B6" s="187"/>
      <c r="C6" s="187"/>
      <c r="D6" s="187" t="s">
        <v>437</v>
      </c>
      <c r="E6" s="187"/>
      <c r="F6" s="187"/>
      <c r="G6" s="187"/>
      <c r="H6" s="187"/>
      <c r="I6" s="187" t="s">
        <v>65</v>
      </c>
      <c r="J6" s="187"/>
      <c r="K6" s="187"/>
      <c r="L6" s="187"/>
      <c r="M6" s="187"/>
      <c r="N6" s="2" t="s">
        <v>66</v>
      </c>
      <c r="O6" s="2"/>
      <c r="P6" s="2"/>
    </row>
    <row r="7" spans="1:22" x14ac:dyDescent="0.25">
      <c r="B7" s="188"/>
      <c r="C7" s="188"/>
      <c r="E7" s="188"/>
      <c r="F7" s="188"/>
      <c r="G7" s="188"/>
      <c r="H7" s="188"/>
      <c r="I7" s="188"/>
      <c r="J7" s="188"/>
      <c r="K7" s="188"/>
      <c r="L7" s="188"/>
      <c r="M7" s="188"/>
      <c r="N7" s="3"/>
      <c r="O7" s="189"/>
      <c r="P7" s="189"/>
    </row>
    <row r="8" spans="1:22" x14ac:dyDescent="0.25">
      <c r="I8" s="188"/>
      <c r="J8" s="188"/>
      <c r="K8" s="188"/>
      <c r="L8" s="188"/>
      <c r="N8" s="3"/>
      <c r="O8" s="3"/>
      <c r="P8" s="3"/>
    </row>
    <row r="9" spans="1:22" ht="14.4" x14ac:dyDescent="0.3">
      <c r="A9" s="240" t="s">
        <v>36</v>
      </c>
      <c r="B9" s="240"/>
      <c r="C9" s="3"/>
      <c r="D9" s="240" t="s">
        <v>36</v>
      </c>
      <c r="E9" s="240"/>
      <c r="F9" s="9" t="s">
        <v>266</v>
      </c>
      <c r="G9" s="3"/>
      <c r="H9" s="9" t="s">
        <v>267</v>
      </c>
      <c r="I9" s="240" t="s">
        <v>36</v>
      </c>
      <c r="J9" s="240"/>
      <c r="K9" s="240"/>
      <c r="L9" s="3"/>
      <c r="M9" s="3"/>
      <c r="N9" s="240" t="s">
        <v>36</v>
      </c>
      <c r="O9" s="240"/>
      <c r="P9" s="3"/>
      <c r="T9" s="241"/>
      <c r="V9" s="241" t="s">
        <v>622</v>
      </c>
    </row>
    <row r="10" spans="1:22" ht="14.4" x14ac:dyDescent="0.3">
      <c r="A10" s="242" t="s">
        <v>37</v>
      </c>
      <c r="B10" s="242" t="s">
        <v>60</v>
      </c>
      <c r="C10" s="190"/>
      <c r="D10" s="242" t="s">
        <v>37</v>
      </c>
      <c r="E10" s="242" t="s">
        <v>60</v>
      </c>
      <c r="F10" s="191" t="s">
        <v>268</v>
      </c>
      <c r="G10" s="191" t="s">
        <v>237</v>
      </c>
      <c r="H10" s="191" t="s">
        <v>237</v>
      </c>
      <c r="I10" s="242" t="s">
        <v>37</v>
      </c>
      <c r="J10" s="242" t="s">
        <v>60</v>
      </c>
      <c r="K10" s="242"/>
      <c r="L10" s="190"/>
      <c r="M10" s="190"/>
      <c r="N10" s="242" t="s">
        <v>37</v>
      </c>
      <c r="O10" s="242" t="s">
        <v>60</v>
      </c>
      <c r="P10" s="242" t="s">
        <v>498</v>
      </c>
      <c r="S10" s="7" t="s">
        <v>719</v>
      </c>
      <c r="T10" s="243" t="s">
        <v>720</v>
      </c>
      <c r="U10" s="243" t="s">
        <v>620</v>
      </c>
      <c r="V10" s="243" t="s">
        <v>621</v>
      </c>
    </row>
    <row r="11" spans="1:22" ht="14.4" x14ac:dyDescent="0.3">
      <c r="N11" s="3"/>
      <c r="O11" s="3"/>
      <c r="P11" s="3"/>
      <c r="R11" s="244"/>
      <c r="S11" s="244"/>
      <c r="T11" s="244"/>
      <c r="U11" s="244"/>
      <c r="V11" s="244"/>
    </row>
    <row r="12" spans="1:22" ht="14.4" x14ac:dyDescent="0.3">
      <c r="A12" s="245">
        <v>1</v>
      </c>
      <c r="B12" s="25" t="s">
        <v>61</v>
      </c>
      <c r="C12" s="246">
        <f>Summary!G46</f>
        <v>2142648725.4966133</v>
      </c>
      <c r="D12" s="245">
        <v>1</v>
      </c>
      <c r="E12" s="25" t="s">
        <v>163</v>
      </c>
      <c r="F12" s="24">
        <v>0.51500000000000001</v>
      </c>
      <c r="G12" s="24">
        <v>5.4951456310679617E-2</v>
      </c>
      <c r="H12" s="24">
        <f>ROUND(F12*G12,4)</f>
        <v>2.8299999999999999E-2</v>
      </c>
      <c r="I12" s="245">
        <v>1</v>
      </c>
      <c r="J12" s="247" t="s">
        <v>69</v>
      </c>
      <c r="K12" s="25"/>
      <c r="L12" s="25"/>
      <c r="M12" s="26">
        <f>+'Common Adj'!BE19</f>
        <v>5.1240000000000001E-3</v>
      </c>
      <c r="N12" s="248">
        <v>1</v>
      </c>
      <c r="O12" s="249" t="s">
        <v>503</v>
      </c>
      <c r="P12" s="250">
        <v>109551860.17603056</v>
      </c>
      <c r="R12" s="244" t="s">
        <v>61</v>
      </c>
      <c r="S12" s="246">
        <v>2142648725.4966133</v>
      </c>
      <c r="T12" s="246">
        <f>C12-S12</f>
        <v>0</v>
      </c>
      <c r="U12" s="246">
        <v>2112672665.850872</v>
      </c>
      <c r="V12" s="246">
        <f>C12-U12</f>
        <v>29976059.645741224</v>
      </c>
    </row>
    <row r="13" spans="1:22" ht="14.4" x14ac:dyDescent="0.3">
      <c r="A13" s="245">
        <f t="shared" ref="A13:A36" si="0">A12+1</f>
        <v>2</v>
      </c>
      <c r="B13" s="247" t="s">
        <v>24</v>
      </c>
      <c r="C13" s="24">
        <f>+H14</f>
        <v>7.4399999999999994E-2</v>
      </c>
      <c r="D13" s="245">
        <f t="shared" ref="D13:D18" si="1">D12+1</f>
        <v>2</v>
      </c>
      <c r="E13" s="25" t="s">
        <v>67</v>
      </c>
      <c r="F13" s="24">
        <v>0.48499999999999999</v>
      </c>
      <c r="G13" s="24">
        <v>9.5000000000000001E-2</v>
      </c>
      <c r="H13" s="24">
        <f t="shared" ref="H13" si="2">ROUND(F13*G13,4)</f>
        <v>4.6100000000000002E-2</v>
      </c>
      <c r="I13" s="245">
        <f t="shared" ref="I13:I20" si="3">I12+1</f>
        <v>2</v>
      </c>
      <c r="J13" s="247" t="s">
        <v>70</v>
      </c>
      <c r="K13" s="25"/>
      <c r="L13" s="25"/>
      <c r="M13" s="26">
        <v>2E-3</v>
      </c>
      <c r="N13" s="248">
        <f>N12+1</f>
        <v>2</v>
      </c>
      <c r="O13" s="249" t="s">
        <v>499</v>
      </c>
      <c r="P13" s="1">
        <f>C26</f>
        <v>-32408665.981774215</v>
      </c>
      <c r="R13" s="244" t="s">
        <v>24</v>
      </c>
      <c r="S13" s="251">
        <v>7.4399999999999994E-2</v>
      </c>
      <c r="T13" s="251">
        <f t="shared" ref="T13:T36" si="4">C13-S13</f>
        <v>0</v>
      </c>
      <c r="U13" s="251">
        <v>7.6200000000000004E-2</v>
      </c>
      <c r="V13" s="251">
        <f>C13-U13</f>
        <v>-1.8000000000000099E-3</v>
      </c>
    </row>
    <row r="14" spans="1:22" ht="14.4" x14ac:dyDescent="0.3">
      <c r="A14" s="245">
        <f t="shared" si="0"/>
        <v>3</v>
      </c>
      <c r="B14" s="247"/>
      <c r="C14" s="21"/>
      <c r="D14" s="245">
        <f t="shared" si="1"/>
        <v>3</v>
      </c>
      <c r="E14" s="25" t="s">
        <v>54</v>
      </c>
      <c r="F14" s="192">
        <f>SUM(F12:F13)</f>
        <v>1</v>
      </c>
      <c r="G14" s="14"/>
      <c r="H14" s="192">
        <f>SUM(H12:H13)</f>
        <v>7.4399999999999994E-2</v>
      </c>
      <c r="I14" s="245">
        <f t="shared" si="3"/>
        <v>3</v>
      </c>
      <c r="J14" s="247" t="str">
        <f>"STATE UTILITY TAX ( "&amp;M14*100&amp;"% - ( LINE 1 * "&amp;M14*100&amp;"% )  )"</f>
        <v>STATE UTILITY TAX ( 3.8323% - ( LINE 1 * 3.8323% )  )</v>
      </c>
      <c r="L14" s="252">
        <v>3.8519999999999999E-2</v>
      </c>
      <c r="M14" s="253">
        <f>ROUND(L14-(L14*M12),6)</f>
        <v>3.8323000000000003E-2</v>
      </c>
      <c r="N14" s="248">
        <f t="shared" ref="N14:N15" si="5">N13+1</f>
        <v>3</v>
      </c>
      <c r="O14" s="3"/>
      <c r="P14" s="193"/>
      <c r="R14" s="244"/>
      <c r="S14" s="244"/>
      <c r="T14" s="254">
        <f t="shared" si="4"/>
        <v>0</v>
      </c>
      <c r="U14" s="254"/>
      <c r="V14" s="254"/>
    </row>
    <row r="15" spans="1:22" ht="15" thickBot="1" x14ac:dyDescent="0.35">
      <c r="A15" s="245">
        <f t="shared" si="0"/>
        <v>4</v>
      </c>
      <c r="B15" s="25" t="s">
        <v>62</v>
      </c>
      <c r="C15" s="255">
        <f>+C13*C12</f>
        <v>159413065.17694801</v>
      </c>
      <c r="D15" s="245">
        <f t="shared" si="1"/>
        <v>4</v>
      </c>
      <c r="E15" s="25"/>
      <c r="I15" s="245">
        <f t="shared" si="3"/>
        <v>4</v>
      </c>
      <c r="J15" s="247"/>
      <c r="K15" s="25"/>
      <c r="L15" s="25"/>
      <c r="M15" s="256"/>
      <c r="N15" s="248">
        <f t="shared" si="5"/>
        <v>4</v>
      </c>
      <c r="O15" s="3" t="s">
        <v>500</v>
      </c>
      <c r="P15" s="257">
        <f>SUM(P12:P14)</f>
        <v>77143194.19425635</v>
      </c>
      <c r="R15" s="244" t="s">
        <v>62</v>
      </c>
      <c r="S15" s="255">
        <v>159413065.17694801</v>
      </c>
      <c r="T15" s="255">
        <f t="shared" si="4"/>
        <v>0</v>
      </c>
      <c r="U15" s="255">
        <v>160985657.13783646</v>
      </c>
      <c r="V15" s="255">
        <f>C15-U15</f>
        <v>-1572591.9608884454</v>
      </c>
    </row>
    <row r="16" spans="1:22" ht="15" thickTop="1" x14ac:dyDescent="0.3">
      <c r="A16" s="245">
        <f t="shared" si="0"/>
        <v>5</v>
      </c>
      <c r="B16" s="25"/>
      <c r="C16" s="244"/>
      <c r="D16" s="245">
        <f t="shared" si="1"/>
        <v>5</v>
      </c>
      <c r="E16" s="25" t="s">
        <v>270</v>
      </c>
      <c r="F16" s="24">
        <f>+F12</f>
        <v>0.51500000000000001</v>
      </c>
      <c r="G16" s="24">
        <f>G12*0.79</f>
        <v>4.3411650485436902E-2</v>
      </c>
      <c r="H16" s="24">
        <f>ROUND(H12*0.79,4)</f>
        <v>2.24E-2</v>
      </c>
      <c r="I16" s="245">
        <f t="shared" si="3"/>
        <v>5</v>
      </c>
      <c r="J16" s="247" t="s">
        <v>71</v>
      </c>
      <c r="K16" s="25"/>
      <c r="L16" s="25"/>
      <c r="M16" s="26">
        <f>ROUND(SUM(M12:M14),6)</f>
        <v>4.5447000000000001E-2</v>
      </c>
      <c r="N16" s="25"/>
      <c r="R16" s="244"/>
      <c r="S16" s="244"/>
      <c r="T16" s="244"/>
      <c r="U16" s="244"/>
      <c r="V16" s="244"/>
    </row>
    <row r="17" spans="1:22" ht="14.4" x14ac:dyDescent="0.3">
      <c r="A17" s="245">
        <f t="shared" si="0"/>
        <v>6</v>
      </c>
      <c r="B17" s="247" t="s">
        <v>63</v>
      </c>
      <c r="C17" s="255">
        <f>Summary!G44</f>
        <v>92980214.138964653</v>
      </c>
      <c r="D17" s="245">
        <f t="shared" si="1"/>
        <v>6</v>
      </c>
      <c r="E17" s="25" t="s">
        <v>67</v>
      </c>
      <c r="F17" s="24">
        <f>+F13</f>
        <v>0.48499999999999999</v>
      </c>
      <c r="G17" s="24">
        <f>+G13</f>
        <v>9.5000000000000001E-2</v>
      </c>
      <c r="H17" s="24">
        <f>ROUND(F17*G17,4)</f>
        <v>4.6100000000000002E-2</v>
      </c>
      <c r="I17" s="245">
        <f t="shared" si="3"/>
        <v>6</v>
      </c>
      <c r="J17" s="25"/>
      <c r="K17" s="25"/>
      <c r="L17" s="25"/>
      <c r="M17" s="26"/>
      <c r="N17" s="25"/>
      <c r="O17" s="249" t="s">
        <v>503</v>
      </c>
      <c r="P17" s="250">
        <v>109547304.49601442</v>
      </c>
      <c r="R17" s="244" t="s">
        <v>63</v>
      </c>
      <c r="S17" s="255">
        <v>92980214.138964653</v>
      </c>
      <c r="T17" s="255">
        <f t="shared" si="4"/>
        <v>0</v>
      </c>
      <c r="U17" s="255">
        <v>96036535.300425529</v>
      </c>
      <c r="V17" s="255">
        <f t="shared" ref="V17:V18" si="6">C17-U17</f>
        <v>-3056321.1614608765</v>
      </c>
    </row>
    <row r="18" spans="1:22" ht="14.4" x14ac:dyDescent="0.3">
      <c r="A18" s="245">
        <f t="shared" si="0"/>
        <v>7</v>
      </c>
      <c r="B18" s="247" t="s">
        <v>64</v>
      </c>
      <c r="C18" s="258">
        <f>+C15-C17</f>
        <v>66432851.037983358</v>
      </c>
      <c r="D18" s="245">
        <f t="shared" si="1"/>
        <v>7</v>
      </c>
      <c r="E18" s="25" t="s">
        <v>68</v>
      </c>
      <c r="F18" s="192">
        <f>SUM(F16:F17)</f>
        <v>1</v>
      </c>
      <c r="G18" s="14"/>
      <c r="H18" s="192">
        <f>SUM(H16:H17)</f>
        <v>6.8500000000000005E-2</v>
      </c>
      <c r="I18" s="245">
        <f t="shared" si="3"/>
        <v>7</v>
      </c>
      <c r="J18" s="25" t="str">
        <f>"CONVERSION FACTOR EXCLUDING FEDERAL INCOME TAX ( 1 - LINE "&amp;$I$17&amp;" )"</f>
        <v>CONVERSION FACTOR EXCLUDING FEDERAL INCOME TAX ( 1 - LINE 6 )</v>
      </c>
      <c r="K18" s="25"/>
      <c r="L18" s="25"/>
      <c r="M18" s="26">
        <f>ROUND(1-M16,6)</f>
        <v>0.95455299999999998</v>
      </c>
      <c r="N18" s="25"/>
      <c r="O18" s="249" t="s">
        <v>499</v>
      </c>
      <c r="P18" s="1">
        <v>-32408665.981774215</v>
      </c>
      <c r="R18" s="244" t="s">
        <v>64</v>
      </c>
      <c r="S18" s="255">
        <v>66432851.037983358</v>
      </c>
      <c r="T18" s="258">
        <f t="shared" si="4"/>
        <v>0</v>
      </c>
      <c r="U18" s="258">
        <v>64949121.837410927</v>
      </c>
      <c r="V18" s="258">
        <f t="shared" si="6"/>
        <v>1483729.2005724311</v>
      </c>
    </row>
    <row r="19" spans="1:22" ht="14.4" x14ac:dyDescent="0.3">
      <c r="A19" s="245">
        <f t="shared" si="0"/>
        <v>8</v>
      </c>
      <c r="B19" s="25"/>
      <c r="D19" s="245"/>
      <c r="I19" s="245">
        <f t="shared" si="3"/>
        <v>8</v>
      </c>
      <c r="J19" s="247" t="str">
        <f>"FEDERAL INCOME TAX ( LINE "&amp;I18&amp;"  * "&amp;FIT_GAS*100&amp;"% )"</f>
        <v>FEDERAL INCOME TAX ( LINE 7  * 21% )</v>
      </c>
      <c r="K19" s="25"/>
      <c r="L19" s="259">
        <f>+FIT_GAS</f>
        <v>0.21</v>
      </c>
      <c r="M19" s="26">
        <f>ROUND((M18)*FIT_GAS,6)</f>
        <v>0.200456</v>
      </c>
      <c r="N19" s="25"/>
      <c r="O19" s="3"/>
      <c r="P19" s="193"/>
      <c r="R19" s="244"/>
      <c r="S19" s="244"/>
      <c r="T19" s="244"/>
      <c r="U19" s="244"/>
      <c r="V19" s="244"/>
    </row>
    <row r="20" spans="1:22" ht="15" thickBot="1" x14ac:dyDescent="0.35">
      <c r="A20" s="245">
        <f t="shared" si="0"/>
        <v>9</v>
      </c>
      <c r="B20" s="25" t="s">
        <v>65</v>
      </c>
      <c r="C20" s="30">
        <f>+M20</f>
        <v>0.75409700000000002</v>
      </c>
      <c r="D20" s="245"/>
      <c r="I20" s="245">
        <f t="shared" si="3"/>
        <v>9</v>
      </c>
      <c r="J20" s="247" t="str">
        <f>"CONVERSION FACTOR INCL FEDERAL INCOME TAX ( LINE "&amp;I18&amp;" - LINE "&amp;I19&amp;" ) "</f>
        <v xml:space="preserve">CONVERSION FACTOR INCL FEDERAL INCOME TAX ( LINE 7 - LINE 8 ) </v>
      </c>
      <c r="K20" s="25"/>
      <c r="L20" s="25"/>
      <c r="M20" s="260">
        <f>ROUND(1-M19-M16,6)</f>
        <v>0.75409700000000002</v>
      </c>
      <c r="N20" s="25"/>
      <c r="O20" s="3" t="s">
        <v>500</v>
      </c>
      <c r="P20" s="257">
        <v>77138638.514240205</v>
      </c>
      <c r="R20" s="244" t="s">
        <v>65</v>
      </c>
      <c r="S20" s="261">
        <v>0.75409700000000002</v>
      </c>
      <c r="T20" s="262">
        <f t="shared" si="4"/>
        <v>0</v>
      </c>
      <c r="U20" s="262">
        <v>0.75409700000000002</v>
      </c>
      <c r="V20" s="262">
        <f t="shared" ref="V20:V21" si="7">C20-U20</f>
        <v>0</v>
      </c>
    </row>
    <row r="21" spans="1:22" ht="15" thickTop="1" x14ac:dyDescent="0.3">
      <c r="A21" s="245">
        <f t="shared" si="0"/>
        <v>10</v>
      </c>
      <c r="B21" s="7" t="s">
        <v>497</v>
      </c>
      <c r="C21" s="263">
        <f>ROUND(+C18/C20,0)</f>
        <v>88095896</v>
      </c>
      <c r="D21" s="245"/>
      <c r="E21" s="12">
        <f>Rllfwd!L17</f>
        <v>81680761.748097539</v>
      </c>
      <c r="F21" s="159" t="s">
        <v>723</v>
      </c>
      <c r="I21" s="245"/>
      <c r="K21" s="25"/>
      <c r="L21" s="25"/>
      <c r="M21" s="25"/>
      <c r="N21" s="25"/>
      <c r="O21" s="159"/>
      <c r="P21" s="159"/>
      <c r="R21" s="244" t="s">
        <v>497</v>
      </c>
      <c r="S21" s="264">
        <v>88095896</v>
      </c>
      <c r="T21" s="263">
        <f t="shared" si="4"/>
        <v>0</v>
      </c>
      <c r="U21" s="263">
        <v>86128339</v>
      </c>
      <c r="V21" s="263">
        <f t="shared" si="7"/>
        <v>1967557</v>
      </c>
    </row>
    <row r="22" spans="1:22" ht="14.4" x14ac:dyDescent="0.3">
      <c r="A22" s="248">
        <f t="shared" si="0"/>
        <v>11</v>
      </c>
      <c r="B22" s="7" t="s">
        <v>513</v>
      </c>
      <c r="C22" s="21"/>
      <c r="D22" s="245"/>
      <c r="I22" s="245"/>
      <c r="K22" s="25"/>
      <c r="L22" s="25"/>
      <c r="M22" s="26"/>
      <c r="O22" s="249" t="s">
        <v>503</v>
      </c>
      <c r="P22" s="250">
        <f>+P12-P17</f>
        <v>4555.6800161451101</v>
      </c>
      <c r="R22" s="244" t="s">
        <v>513</v>
      </c>
      <c r="S22" s="244"/>
      <c r="T22" s="254">
        <f t="shared" si="4"/>
        <v>0</v>
      </c>
      <c r="U22" s="254"/>
      <c r="V22" s="254"/>
    </row>
    <row r="23" spans="1:22" ht="14.4" x14ac:dyDescent="0.3">
      <c r="A23" s="248">
        <f t="shared" si="0"/>
        <v>12</v>
      </c>
      <c r="B23" s="194" t="s">
        <v>475</v>
      </c>
      <c r="C23" s="12">
        <v>-10620091.678408889</v>
      </c>
      <c r="D23" s="245"/>
      <c r="O23" s="249" t="s">
        <v>499</v>
      </c>
      <c r="P23" s="1">
        <f t="shared" ref="P23:P25" si="8">+P13-P18</f>
        <v>0</v>
      </c>
      <c r="R23" s="244" t="s">
        <v>475</v>
      </c>
      <c r="S23" s="255">
        <v>-10620091.678408889</v>
      </c>
      <c r="T23" s="255">
        <f t="shared" si="4"/>
        <v>0</v>
      </c>
      <c r="U23" s="255">
        <v>-10620091.678408889</v>
      </c>
      <c r="V23" s="255">
        <f t="shared" ref="V23:V26" si="9">C23-U23</f>
        <v>0</v>
      </c>
    </row>
    <row r="24" spans="1:22" ht="14.4" x14ac:dyDescent="0.3">
      <c r="A24" s="248">
        <f t="shared" si="0"/>
        <v>13</v>
      </c>
      <c r="B24" s="194" t="s">
        <v>471</v>
      </c>
      <c r="C24" s="12">
        <v>-27975683.393576138</v>
      </c>
      <c r="D24" s="245"/>
      <c r="O24" s="3"/>
      <c r="P24" s="193">
        <f t="shared" si="8"/>
        <v>0</v>
      </c>
      <c r="R24" s="244" t="s">
        <v>471</v>
      </c>
      <c r="S24" s="255">
        <v>-27975683.393576138</v>
      </c>
      <c r="T24" s="255">
        <f t="shared" si="4"/>
        <v>0</v>
      </c>
      <c r="U24" s="255">
        <v>-27975683.393576138</v>
      </c>
      <c r="V24" s="255">
        <f t="shared" si="9"/>
        <v>0</v>
      </c>
    </row>
    <row r="25" spans="1:22" ht="15" thickBot="1" x14ac:dyDescent="0.35">
      <c r="A25" s="248">
        <f t="shared" si="0"/>
        <v>14</v>
      </c>
      <c r="B25" s="194" t="s">
        <v>472</v>
      </c>
      <c r="C25" s="12">
        <v>6187109.090210814</v>
      </c>
      <c r="E25" s="159"/>
      <c r="F25" s="159"/>
      <c r="G25" s="159"/>
      <c r="H25" s="159"/>
      <c r="O25" s="3" t="s">
        <v>500</v>
      </c>
      <c r="P25" s="257">
        <f t="shared" si="8"/>
        <v>4555.6800161451101</v>
      </c>
      <c r="R25" s="244" t="s">
        <v>472</v>
      </c>
      <c r="S25" s="255">
        <v>6187109.090210814</v>
      </c>
      <c r="T25" s="255">
        <f t="shared" si="4"/>
        <v>0</v>
      </c>
      <c r="U25" s="255">
        <v>6187109.090210814</v>
      </c>
      <c r="V25" s="255">
        <f t="shared" si="9"/>
        <v>0</v>
      </c>
    </row>
    <row r="26" spans="1:22" ht="15" thickTop="1" x14ac:dyDescent="0.3">
      <c r="A26" s="248">
        <f t="shared" si="0"/>
        <v>15</v>
      </c>
      <c r="B26" s="7" t="s">
        <v>473</v>
      </c>
      <c r="C26" s="51">
        <f>SUM(C23:C25)</f>
        <v>-32408665.981774215</v>
      </c>
      <c r="E26" s="265">
        <f>C26</f>
        <v>-32408665.981774215</v>
      </c>
      <c r="F26" s="159" t="s">
        <v>723</v>
      </c>
      <c r="G26" s="159"/>
      <c r="H26" s="159"/>
      <c r="O26" s="159"/>
      <c r="P26" s="159"/>
      <c r="R26" s="244" t="s">
        <v>473</v>
      </c>
      <c r="S26" s="255">
        <v>-32408665.981774215</v>
      </c>
      <c r="T26" s="258">
        <f t="shared" si="4"/>
        <v>0</v>
      </c>
      <c r="U26" s="258">
        <v>-32408665.981774215</v>
      </c>
      <c r="V26" s="258">
        <f t="shared" si="9"/>
        <v>0</v>
      </c>
    </row>
    <row r="27" spans="1:22" ht="14.4" x14ac:dyDescent="0.3">
      <c r="A27" s="248">
        <f t="shared" si="0"/>
        <v>16</v>
      </c>
      <c r="C27" s="21"/>
      <c r="E27" s="159"/>
      <c r="F27" s="159"/>
      <c r="G27" s="159"/>
      <c r="H27" s="159"/>
      <c r="O27" s="652" t="s">
        <v>503</v>
      </c>
      <c r="P27" s="653">
        <v>109551860.17603056</v>
      </c>
      <c r="R27" s="244"/>
      <c r="S27" s="244"/>
      <c r="T27" s="254">
        <f t="shared" si="4"/>
        <v>0</v>
      </c>
      <c r="U27" s="254"/>
      <c r="V27" s="254"/>
    </row>
    <row r="28" spans="1:22" ht="14.4" x14ac:dyDescent="0.3">
      <c r="A28" s="248">
        <f t="shared" si="0"/>
        <v>17</v>
      </c>
      <c r="B28" s="7" t="s">
        <v>474</v>
      </c>
      <c r="C28" s="264">
        <f>C21+C26</f>
        <v>55687230.018225789</v>
      </c>
      <c r="E28" s="265">
        <f>SUM(E21:E27)</f>
        <v>49272095.766323328</v>
      </c>
      <c r="F28" s="159"/>
      <c r="G28" s="159"/>
      <c r="H28" s="159"/>
      <c r="O28" s="652" t="s">
        <v>499</v>
      </c>
      <c r="P28" s="654">
        <v>-32408665.981774215</v>
      </c>
      <c r="R28" s="244" t="s">
        <v>474</v>
      </c>
      <c r="S28" s="264">
        <v>55687230.018225789</v>
      </c>
      <c r="T28" s="264">
        <f t="shared" si="4"/>
        <v>0</v>
      </c>
      <c r="U28" s="264">
        <v>53719673.018225789</v>
      </c>
      <c r="V28" s="264">
        <f>C28-U28</f>
        <v>1967557</v>
      </c>
    </row>
    <row r="29" spans="1:22" ht="14.4" x14ac:dyDescent="0.3">
      <c r="A29" s="248">
        <f t="shared" si="0"/>
        <v>18</v>
      </c>
      <c r="C29" s="20"/>
      <c r="E29" s="159"/>
      <c r="F29" s="159"/>
      <c r="G29" s="159"/>
      <c r="H29" s="159"/>
      <c r="O29" s="655"/>
      <c r="P29" s="656"/>
      <c r="R29" s="244"/>
      <c r="S29" s="264"/>
      <c r="T29" s="264">
        <f t="shared" si="4"/>
        <v>0</v>
      </c>
      <c r="U29" s="264"/>
      <c r="V29" s="264"/>
    </row>
    <row r="30" spans="1:22" ht="15" thickBot="1" x14ac:dyDescent="0.35">
      <c r="A30" s="248">
        <f t="shared" si="0"/>
        <v>19</v>
      </c>
      <c r="B30" s="7" t="s">
        <v>494</v>
      </c>
      <c r="C30" s="264">
        <f>C32-C28</f>
        <v>21455964.176030561</v>
      </c>
      <c r="E30" s="12">
        <v>27987169.058836162</v>
      </c>
      <c r="F30" s="159" t="s">
        <v>723</v>
      </c>
      <c r="G30" s="159"/>
      <c r="H30" s="159"/>
      <c r="O30" s="655" t="s">
        <v>500</v>
      </c>
      <c r="P30" s="657">
        <v>77143194.19425635</v>
      </c>
      <c r="R30" s="244" t="s">
        <v>494</v>
      </c>
      <c r="S30" s="264">
        <v>21451408.496014416</v>
      </c>
      <c r="T30" s="264">
        <f t="shared" si="4"/>
        <v>4555.6800161451101</v>
      </c>
      <c r="U30" s="264">
        <v>22110793.04942055</v>
      </c>
      <c r="V30" s="264">
        <f>C30-U30</f>
        <v>-654828.87338998914</v>
      </c>
    </row>
    <row r="31" spans="1:22" ht="15" thickTop="1" x14ac:dyDescent="0.3">
      <c r="A31" s="248">
        <f t="shared" si="0"/>
        <v>20</v>
      </c>
      <c r="C31" s="31"/>
      <c r="E31" s="159"/>
      <c r="F31" s="159"/>
      <c r="G31" s="159"/>
      <c r="H31" s="159"/>
      <c r="O31" s="649"/>
      <c r="P31" s="649"/>
      <c r="R31" s="244"/>
      <c r="S31" s="264"/>
      <c r="T31" s="266">
        <f t="shared" si="4"/>
        <v>0</v>
      </c>
      <c r="U31" s="266"/>
      <c r="V31" s="266"/>
    </row>
    <row r="32" spans="1:22" ht="14.4" x14ac:dyDescent="0.3">
      <c r="A32" s="248">
        <f t="shared" si="0"/>
        <v>21</v>
      </c>
      <c r="B32" s="7" t="s">
        <v>504</v>
      </c>
      <c r="C32" s="264">
        <f>'COC, Def, ConvF'!P15</f>
        <v>77143194.19425635</v>
      </c>
      <c r="E32" s="159"/>
      <c r="F32" s="159"/>
      <c r="G32" s="159"/>
      <c r="H32" s="159"/>
      <c r="O32" s="652" t="s">
        <v>503</v>
      </c>
      <c r="P32" s="653">
        <v>109547304.49601442</v>
      </c>
      <c r="R32" s="244" t="s">
        <v>504</v>
      </c>
      <c r="S32" s="264">
        <v>77138638.514240205</v>
      </c>
      <c r="T32" s="264">
        <f t="shared" si="4"/>
        <v>4555.6800161451101</v>
      </c>
      <c r="U32" s="264">
        <v>75830466.06764634</v>
      </c>
      <c r="V32" s="264">
        <f>C32-U32</f>
        <v>1312728.1266100109</v>
      </c>
    </row>
    <row r="33" spans="1:22" ht="14.4" x14ac:dyDescent="0.3">
      <c r="A33" s="248">
        <f t="shared" si="0"/>
        <v>22</v>
      </c>
      <c r="C33" s="20"/>
      <c r="O33" s="652" t="s">
        <v>499</v>
      </c>
      <c r="P33" s="654">
        <v>-32408665.981774215</v>
      </c>
      <c r="R33" s="244"/>
      <c r="S33" s="264"/>
      <c r="T33" s="264">
        <f t="shared" si="4"/>
        <v>0</v>
      </c>
      <c r="U33" s="264"/>
      <c r="V33" s="264"/>
    </row>
    <row r="34" spans="1:22" ht="14.4" x14ac:dyDescent="0.3">
      <c r="A34" s="248">
        <f t="shared" si="0"/>
        <v>23</v>
      </c>
      <c r="B34" s="7" t="s">
        <v>493</v>
      </c>
      <c r="C34" s="264">
        <f>C36-C32</f>
        <v>-11670384.18880561</v>
      </c>
      <c r="E34" s="12">
        <v>-11786455.071611211</v>
      </c>
      <c r="F34" s="159" t="s">
        <v>723</v>
      </c>
      <c r="G34" s="12">
        <f>E30+E34</f>
        <v>16200713.987224951</v>
      </c>
      <c r="O34" s="655"/>
      <c r="P34" s="656"/>
      <c r="R34" s="244" t="s">
        <v>493</v>
      </c>
      <c r="S34" s="264">
        <v>-11665828.508789465</v>
      </c>
      <c r="T34" s="264">
        <f t="shared" si="4"/>
        <v>-4555.6800161451101</v>
      </c>
      <c r="U34" s="264">
        <v>-10357656.062195599</v>
      </c>
      <c r="V34" s="264">
        <f>C34-U34</f>
        <v>-1312728.1266100109</v>
      </c>
    </row>
    <row r="35" spans="1:22" ht="15" thickBot="1" x14ac:dyDescent="0.35">
      <c r="A35" s="248">
        <f t="shared" si="0"/>
        <v>24</v>
      </c>
      <c r="C35" s="31"/>
      <c r="O35" s="655" t="s">
        <v>500</v>
      </c>
      <c r="P35" s="657">
        <v>77138638.514240205</v>
      </c>
      <c r="R35" s="244"/>
      <c r="S35" s="264"/>
      <c r="T35" s="266">
        <f t="shared" si="4"/>
        <v>0</v>
      </c>
      <c r="U35" s="266"/>
      <c r="V35" s="266"/>
    </row>
    <row r="36" spans="1:22" ht="15.6" thickTop="1" thickBot="1" x14ac:dyDescent="0.35">
      <c r="A36" s="248">
        <f t="shared" si="0"/>
        <v>25</v>
      </c>
      <c r="B36" s="7" t="s">
        <v>514</v>
      </c>
      <c r="C36" s="52">
        <v>65472810.00545074</v>
      </c>
      <c r="E36" s="12">
        <f>SUM(E28:E35)</f>
        <v>65472809.753548279</v>
      </c>
      <c r="F36" s="159" t="s">
        <v>723</v>
      </c>
      <c r="O36" s="658"/>
      <c r="P36" s="658"/>
      <c r="R36" s="244" t="s">
        <v>514</v>
      </c>
      <c r="S36" s="246">
        <v>65472810.00545074</v>
      </c>
      <c r="T36" s="267">
        <f t="shared" si="4"/>
        <v>0</v>
      </c>
      <c r="U36" s="267">
        <v>65472810.00545074</v>
      </c>
      <c r="V36" s="267">
        <f>C36-U36</f>
        <v>0</v>
      </c>
    </row>
    <row r="37" spans="1:22" ht="15" thickTop="1" x14ac:dyDescent="0.3">
      <c r="C37" s="195"/>
      <c r="O37" s="652" t="s">
        <v>503</v>
      </c>
      <c r="P37" s="653">
        <v>4555.6800161451101</v>
      </c>
    </row>
    <row r="38" spans="1:22" ht="14.4" x14ac:dyDescent="0.3">
      <c r="A38"/>
      <c r="B38"/>
      <c r="C38"/>
      <c r="D38"/>
      <c r="E38"/>
      <c r="O38" s="652" t="s">
        <v>499</v>
      </c>
      <c r="P38" s="654">
        <v>0</v>
      </c>
    </row>
    <row r="39" spans="1:22" ht="14.4" x14ac:dyDescent="0.3">
      <c r="A39"/>
      <c r="B39"/>
      <c r="C39"/>
      <c r="D39"/>
      <c r="E39"/>
      <c r="O39" s="655"/>
      <c r="P39" s="656">
        <v>0</v>
      </c>
      <c r="R39" s="647" t="s">
        <v>61</v>
      </c>
      <c r="S39" s="645">
        <v>2142648725.4966133</v>
      </c>
      <c r="T39" s="645">
        <v>0</v>
      </c>
      <c r="U39" s="645">
        <v>2112672665.850872</v>
      </c>
      <c r="V39" s="645">
        <v>29976059.645741224</v>
      </c>
    </row>
    <row r="40" spans="1:22" ht="15" thickBot="1" x14ac:dyDescent="0.35">
      <c r="A40"/>
      <c r="B40"/>
      <c r="C40"/>
      <c r="D40"/>
      <c r="E40"/>
      <c r="O40" s="655" t="s">
        <v>500</v>
      </c>
      <c r="P40" s="657">
        <v>4555.6800161451101</v>
      </c>
      <c r="R40" s="647" t="s">
        <v>24</v>
      </c>
      <c r="S40" s="659">
        <v>7.4399999999999994E-2</v>
      </c>
      <c r="T40" s="659">
        <v>0</v>
      </c>
      <c r="U40" s="659">
        <v>7.6200000000000004E-2</v>
      </c>
      <c r="V40" s="659">
        <v>-1.8000000000000099E-3</v>
      </c>
    </row>
    <row r="41" spans="1:22" ht="15" thickTop="1" x14ac:dyDescent="0.3">
      <c r="A41"/>
      <c r="B41"/>
      <c r="C41"/>
      <c r="D41"/>
      <c r="E41"/>
      <c r="R41" s="647"/>
      <c r="S41" s="647"/>
      <c r="T41" s="660">
        <v>0</v>
      </c>
      <c r="U41" s="660"/>
      <c r="V41" s="660"/>
    </row>
    <row r="42" spans="1:22" ht="14.4" x14ac:dyDescent="0.3">
      <c r="A42"/>
      <c r="B42"/>
      <c r="C42"/>
      <c r="D42"/>
      <c r="E42"/>
      <c r="O42" s="652" t="s">
        <v>503</v>
      </c>
      <c r="P42" s="653">
        <f>+P12-P27</f>
        <v>0</v>
      </c>
      <c r="R42" s="647" t="s">
        <v>62</v>
      </c>
      <c r="S42" s="646">
        <v>159413065.17694801</v>
      </c>
      <c r="T42" s="646">
        <v>0</v>
      </c>
      <c r="U42" s="646">
        <v>160985657.13783646</v>
      </c>
      <c r="V42" s="646">
        <v>-1572591.9608884454</v>
      </c>
    </row>
    <row r="43" spans="1:22" ht="14.4" x14ac:dyDescent="0.3">
      <c r="A43"/>
      <c r="B43"/>
      <c r="C43"/>
      <c r="D43"/>
      <c r="E43"/>
      <c r="O43" s="652" t="s">
        <v>499</v>
      </c>
      <c r="P43" s="654">
        <f t="shared" ref="P43:P55" si="10">+P13-P28</f>
        <v>0</v>
      </c>
      <c r="R43" s="647"/>
      <c r="S43" s="647"/>
      <c r="T43" s="647"/>
      <c r="U43" s="647"/>
      <c r="V43" s="647"/>
    </row>
    <row r="44" spans="1:22" ht="14.4" x14ac:dyDescent="0.3">
      <c r="A44"/>
      <c r="B44"/>
      <c r="C44"/>
      <c r="D44"/>
      <c r="E44"/>
      <c r="O44" s="655"/>
      <c r="P44" s="656">
        <f t="shared" si="10"/>
        <v>0</v>
      </c>
      <c r="R44" s="647" t="s">
        <v>63</v>
      </c>
      <c r="S44" s="646">
        <v>92980214.138964653</v>
      </c>
      <c r="T44" s="646">
        <v>0</v>
      </c>
      <c r="U44" s="646">
        <v>96036535.300425529</v>
      </c>
      <c r="V44" s="646">
        <v>-3056321.1614608765</v>
      </c>
    </row>
    <row r="45" spans="1:22" ht="15" thickBot="1" x14ac:dyDescent="0.35">
      <c r="A45"/>
      <c r="B45"/>
      <c r="C45"/>
      <c r="D45"/>
      <c r="E45"/>
      <c r="O45" s="655" t="s">
        <v>500</v>
      </c>
      <c r="P45" s="657">
        <f t="shared" si="10"/>
        <v>0</v>
      </c>
      <c r="R45" s="647" t="s">
        <v>64</v>
      </c>
      <c r="S45" s="646">
        <v>66432851.037983358</v>
      </c>
      <c r="T45" s="648">
        <v>0</v>
      </c>
      <c r="U45" s="648">
        <v>64949121.837410927</v>
      </c>
      <c r="V45" s="648">
        <v>1483729.2005724311</v>
      </c>
    </row>
    <row r="46" spans="1:22" ht="15" thickTop="1" x14ac:dyDescent="0.3">
      <c r="A46"/>
      <c r="B46"/>
      <c r="C46"/>
      <c r="D46"/>
      <c r="E46"/>
      <c r="O46" s="649"/>
      <c r="P46" s="649">
        <f t="shared" si="10"/>
        <v>0</v>
      </c>
      <c r="R46" s="647"/>
      <c r="S46" s="647"/>
      <c r="T46" s="647"/>
      <c r="U46" s="647"/>
      <c r="V46" s="647"/>
    </row>
    <row r="47" spans="1:22" ht="14.4" x14ac:dyDescent="0.3">
      <c r="A47"/>
      <c r="B47"/>
      <c r="C47"/>
      <c r="D47"/>
      <c r="E47"/>
      <c r="O47" s="652" t="s">
        <v>503</v>
      </c>
      <c r="P47" s="653">
        <f t="shared" si="10"/>
        <v>0</v>
      </c>
      <c r="R47" s="647" t="s">
        <v>65</v>
      </c>
      <c r="S47" s="661">
        <v>0.75409700000000002</v>
      </c>
      <c r="T47" s="662">
        <v>0</v>
      </c>
      <c r="U47" s="662">
        <v>0.75409700000000002</v>
      </c>
      <c r="V47" s="662">
        <v>0</v>
      </c>
    </row>
    <row r="48" spans="1:22" ht="14.4" x14ac:dyDescent="0.3">
      <c r="A48"/>
      <c r="B48"/>
      <c r="C48"/>
      <c r="D48"/>
      <c r="E48"/>
      <c r="O48" s="652" t="s">
        <v>499</v>
      </c>
      <c r="P48" s="654">
        <f t="shared" si="10"/>
        <v>0</v>
      </c>
      <c r="R48" s="647" t="s">
        <v>497</v>
      </c>
      <c r="S48" s="651">
        <v>88095896</v>
      </c>
      <c r="T48" s="650">
        <v>0</v>
      </c>
      <c r="U48" s="650">
        <v>86128339</v>
      </c>
      <c r="V48" s="650">
        <v>1967557</v>
      </c>
    </row>
    <row r="49" spans="1:22" ht="14.4" x14ac:dyDescent="0.3">
      <c r="A49"/>
      <c r="B49"/>
      <c r="C49"/>
      <c r="D49"/>
      <c r="E49"/>
      <c r="O49" s="655"/>
      <c r="P49" s="656">
        <f t="shared" si="10"/>
        <v>0</v>
      </c>
      <c r="R49" s="647" t="s">
        <v>513</v>
      </c>
      <c r="S49" s="647"/>
      <c r="T49" s="660">
        <v>0</v>
      </c>
      <c r="U49" s="660"/>
      <c r="V49" s="660"/>
    </row>
    <row r="50" spans="1:22" ht="15" thickBot="1" x14ac:dyDescent="0.35">
      <c r="A50"/>
      <c r="B50"/>
      <c r="C50"/>
      <c r="D50"/>
      <c r="E50"/>
      <c r="O50" s="655" t="s">
        <v>500</v>
      </c>
      <c r="P50" s="657">
        <f t="shared" si="10"/>
        <v>0</v>
      </c>
      <c r="R50" s="647" t="s">
        <v>475</v>
      </c>
      <c r="S50" s="646">
        <v>-10620091.678408889</v>
      </c>
      <c r="T50" s="646">
        <v>0</v>
      </c>
      <c r="U50" s="646">
        <v>-10620091.678408889</v>
      </c>
      <c r="V50" s="646">
        <v>0</v>
      </c>
    </row>
    <row r="51" spans="1:22" ht="15" thickTop="1" x14ac:dyDescent="0.3">
      <c r="A51"/>
      <c r="B51"/>
      <c r="C51"/>
      <c r="D51"/>
      <c r="E51"/>
      <c r="O51" s="658"/>
      <c r="P51" s="658">
        <f t="shared" si="10"/>
        <v>0</v>
      </c>
      <c r="R51" s="647" t="s">
        <v>471</v>
      </c>
      <c r="S51" s="646">
        <v>-27975683.393576138</v>
      </c>
      <c r="T51" s="646">
        <v>0</v>
      </c>
      <c r="U51" s="646">
        <v>-27975683.393576138</v>
      </c>
      <c r="V51" s="646">
        <v>0</v>
      </c>
    </row>
    <row r="52" spans="1:22" ht="14.4" x14ac:dyDescent="0.3">
      <c r="A52"/>
      <c r="B52"/>
      <c r="C52"/>
      <c r="D52"/>
      <c r="E52"/>
      <c r="O52" s="652" t="s">
        <v>503</v>
      </c>
      <c r="P52" s="653">
        <f t="shared" si="10"/>
        <v>0</v>
      </c>
      <c r="R52" s="647" t="s">
        <v>472</v>
      </c>
      <c r="S52" s="646">
        <v>6187109.090210814</v>
      </c>
      <c r="T52" s="646">
        <v>0</v>
      </c>
      <c r="U52" s="646">
        <v>6187109.090210814</v>
      </c>
      <c r="V52" s="646">
        <v>0</v>
      </c>
    </row>
    <row r="53" spans="1:22" ht="14.4" x14ac:dyDescent="0.3">
      <c r="A53"/>
      <c r="B53"/>
      <c r="C53"/>
      <c r="D53"/>
      <c r="E53"/>
      <c r="O53" s="652" t="s">
        <v>499</v>
      </c>
      <c r="P53" s="654">
        <f t="shared" si="10"/>
        <v>0</v>
      </c>
      <c r="R53" s="647" t="s">
        <v>473</v>
      </c>
      <c r="S53" s="646">
        <v>-32408665.981774215</v>
      </c>
      <c r="T53" s="648">
        <v>0</v>
      </c>
      <c r="U53" s="648">
        <v>-32408665.981774215</v>
      </c>
      <c r="V53" s="648">
        <v>0</v>
      </c>
    </row>
    <row r="54" spans="1:22" ht="14.4" x14ac:dyDescent="0.3">
      <c r="A54"/>
      <c r="B54"/>
      <c r="C54"/>
      <c r="D54"/>
      <c r="E54"/>
      <c r="O54" s="655"/>
      <c r="P54" s="656">
        <f t="shared" si="10"/>
        <v>0</v>
      </c>
      <c r="R54" s="647"/>
      <c r="S54" s="647"/>
      <c r="T54" s="660">
        <v>0</v>
      </c>
      <c r="U54" s="660"/>
      <c r="V54" s="660"/>
    </row>
    <row r="55" spans="1:22" ht="15" thickBot="1" x14ac:dyDescent="0.35">
      <c r="A55"/>
      <c r="B55"/>
      <c r="C55"/>
      <c r="D55"/>
      <c r="E55"/>
      <c r="O55" s="655" t="s">
        <v>500</v>
      </c>
      <c r="P55" s="657">
        <f t="shared" si="10"/>
        <v>0</v>
      </c>
      <c r="R55" s="647" t="s">
        <v>474</v>
      </c>
      <c r="S55" s="651">
        <v>55687230.018225789</v>
      </c>
      <c r="T55" s="651">
        <v>0</v>
      </c>
      <c r="U55" s="651">
        <v>53719673.018225789</v>
      </c>
      <c r="V55" s="651">
        <v>1967557</v>
      </c>
    </row>
    <row r="56" spans="1:22" ht="15" thickTop="1" x14ac:dyDescent="0.3">
      <c r="A56"/>
      <c r="B56"/>
      <c r="C56"/>
      <c r="D56"/>
      <c r="E56"/>
      <c r="R56" s="647"/>
      <c r="S56" s="651"/>
      <c r="T56" s="651">
        <v>0</v>
      </c>
      <c r="U56" s="651"/>
      <c r="V56" s="651"/>
    </row>
    <row r="57" spans="1:22" ht="14.4" x14ac:dyDescent="0.3">
      <c r="A57"/>
      <c r="B57"/>
      <c r="C57"/>
      <c r="D57"/>
      <c r="E57"/>
      <c r="R57" s="647" t="s">
        <v>494</v>
      </c>
      <c r="S57" s="651">
        <v>21451408.496014416</v>
      </c>
      <c r="T57" s="651">
        <v>4555.6800161451101</v>
      </c>
      <c r="U57" s="651">
        <v>22110793.04942055</v>
      </c>
      <c r="V57" s="651">
        <v>-654828.87338998914</v>
      </c>
    </row>
    <row r="58" spans="1:22" ht="14.4" x14ac:dyDescent="0.3">
      <c r="A58"/>
      <c r="B58"/>
      <c r="C58"/>
      <c r="D58"/>
      <c r="E58"/>
      <c r="R58" s="647"/>
      <c r="S58" s="651"/>
      <c r="T58" s="663">
        <v>0</v>
      </c>
      <c r="U58" s="663"/>
      <c r="V58" s="663"/>
    </row>
    <row r="59" spans="1:22" ht="14.4" x14ac:dyDescent="0.3">
      <c r="A59"/>
      <c r="B59"/>
      <c r="C59"/>
      <c r="D59"/>
      <c r="E59"/>
      <c r="R59" s="647" t="s">
        <v>504</v>
      </c>
      <c r="S59" s="651">
        <v>77138638.514240205</v>
      </c>
      <c r="T59" s="651">
        <v>4555.6800161451101</v>
      </c>
      <c r="U59" s="651">
        <v>75830466.06764634</v>
      </c>
      <c r="V59" s="651">
        <v>1312728.1266100109</v>
      </c>
    </row>
    <row r="60" spans="1:22" ht="14.4" x14ac:dyDescent="0.3">
      <c r="A60"/>
      <c r="B60"/>
      <c r="C60"/>
      <c r="D60"/>
      <c r="E60"/>
      <c r="R60" s="647"/>
      <c r="S60" s="651"/>
      <c r="T60" s="651">
        <v>0</v>
      </c>
      <c r="U60" s="651"/>
      <c r="V60" s="651"/>
    </row>
    <row r="61" spans="1:22" ht="14.4" x14ac:dyDescent="0.3">
      <c r="A61"/>
      <c r="B61"/>
      <c r="C61"/>
      <c r="D61"/>
      <c r="E61"/>
      <c r="R61" s="647" t="s">
        <v>493</v>
      </c>
      <c r="S61" s="651">
        <v>-11665828.508789465</v>
      </c>
      <c r="T61" s="651">
        <v>-4555.6800161451101</v>
      </c>
      <c r="U61" s="651">
        <v>-10357656.062195599</v>
      </c>
      <c r="V61" s="651">
        <v>-1312728.1266100109</v>
      </c>
    </row>
    <row r="62" spans="1:22" ht="14.4" x14ac:dyDescent="0.3">
      <c r="A62"/>
      <c r="B62"/>
      <c r="C62"/>
      <c r="D62"/>
      <c r="E62"/>
      <c r="R62" s="647"/>
      <c r="S62" s="651"/>
      <c r="T62" s="663">
        <v>0</v>
      </c>
      <c r="U62" s="663"/>
      <c r="V62" s="663"/>
    </row>
    <row r="63" spans="1:22" ht="15" thickBot="1" x14ac:dyDescent="0.35">
      <c r="A63"/>
      <c r="B63"/>
      <c r="C63"/>
      <c r="D63"/>
      <c r="E63"/>
      <c r="R63" s="647" t="s">
        <v>514</v>
      </c>
      <c r="S63" s="645">
        <v>65472810.00545074</v>
      </c>
      <c r="T63" s="664">
        <v>0</v>
      </c>
      <c r="U63" s="664">
        <v>65472810.00545074</v>
      </c>
      <c r="V63" s="664">
        <v>0</v>
      </c>
    </row>
    <row r="64" spans="1:22" ht="15" thickTop="1" x14ac:dyDescent="0.3">
      <c r="A64"/>
      <c r="B64"/>
      <c r="C64"/>
      <c r="D64"/>
      <c r="E64"/>
    </row>
    <row r="65" spans="1:22" ht="14.4" x14ac:dyDescent="0.3">
      <c r="A65"/>
      <c r="B65"/>
      <c r="C65"/>
      <c r="D65"/>
      <c r="E65"/>
    </row>
    <row r="66" spans="1:22" ht="14.4" x14ac:dyDescent="0.3">
      <c r="A66"/>
      <c r="B66"/>
      <c r="C66"/>
      <c r="D66"/>
      <c r="E66"/>
      <c r="R66" s="647" t="s">
        <v>61</v>
      </c>
      <c r="S66" s="645">
        <f>+S12-S39</f>
        <v>0</v>
      </c>
      <c r="T66" s="645">
        <f t="shared" ref="T66:V66" si="11">+T12-T39</f>
        <v>0</v>
      </c>
      <c r="U66" s="645">
        <f t="shared" si="11"/>
        <v>0</v>
      </c>
      <c r="V66" s="645">
        <f t="shared" si="11"/>
        <v>0</v>
      </c>
    </row>
    <row r="67" spans="1:22" ht="14.4" x14ac:dyDescent="0.3">
      <c r="A67"/>
      <c r="B67"/>
      <c r="C67"/>
      <c r="D67"/>
      <c r="E67"/>
      <c r="R67" s="647" t="s">
        <v>24</v>
      </c>
      <c r="S67" s="659">
        <f t="shared" ref="S67:S90" si="12">+S13-S40</f>
        <v>0</v>
      </c>
      <c r="T67" s="659">
        <f t="shared" ref="T67:V67" si="13">+T13-T40</f>
        <v>0</v>
      </c>
      <c r="U67" s="659">
        <f t="shared" si="13"/>
        <v>0</v>
      </c>
      <c r="V67" s="659">
        <f t="shared" si="13"/>
        <v>0</v>
      </c>
    </row>
    <row r="68" spans="1:22" ht="14.4" x14ac:dyDescent="0.3">
      <c r="A68"/>
      <c r="B68"/>
      <c r="C68"/>
      <c r="D68"/>
      <c r="E68"/>
      <c r="R68" s="647"/>
      <c r="S68" s="647">
        <f t="shared" si="12"/>
        <v>0</v>
      </c>
      <c r="T68" s="660">
        <f t="shared" ref="T68:V68" si="14">+T14-T41</f>
        <v>0</v>
      </c>
      <c r="U68" s="660">
        <f t="shared" si="14"/>
        <v>0</v>
      </c>
      <c r="V68" s="660">
        <f t="shared" si="14"/>
        <v>0</v>
      </c>
    </row>
    <row r="69" spans="1:22" ht="14.4" x14ac:dyDescent="0.3">
      <c r="A69"/>
      <c r="B69"/>
      <c r="C69"/>
      <c r="D69"/>
      <c r="E69"/>
      <c r="R69" s="647" t="s">
        <v>62</v>
      </c>
      <c r="S69" s="646">
        <f t="shared" si="12"/>
        <v>0</v>
      </c>
      <c r="T69" s="646">
        <f t="shared" ref="T69:V69" si="15">+T15-T42</f>
        <v>0</v>
      </c>
      <c r="U69" s="646">
        <f t="shared" si="15"/>
        <v>0</v>
      </c>
      <c r="V69" s="646">
        <f t="shared" si="15"/>
        <v>0</v>
      </c>
    </row>
    <row r="70" spans="1:22" ht="14.4" x14ac:dyDescent="0.3">
      <c r="A70"/>
      <c r="B70"/>
      <c r="C70"/>
      <c r="D70"/>
      <c r="E70"/>
      <c r="R70" s="647"/>
      <c r="S70" s="647">
        <f t="shared" si="12"/>
        <v>0</v>
      </c>
      <c r="T70" s="647">
        <f t="shared" ref="T70:V70" si="16">+T16-T43</f>
        <v>0</v>
      </c>
      <c r="U70" s="647">
        <f t="shared" si="16"/>
        <v>0</v>
      </c>
      <c r="V70" s="647">
        <f t="shared" si="16"/>
        <v>0</v>
      </c>
    </row>
    <row r="71" spans="1:22" ht="14.4" x14ac:dyDescent="0.3">
      <c r="A71"/>
      <c r="B71"/>
      <c r="C71"/>
      <c r="D71"/>
      <c r="E71"/>
      <c r="R71" s="647" t="s">
        <v>63</v>
      </c>
      <c r="S71" s="646">
        <f t="shared" si="12"/>
        <v>0</v>
      </c>
      <c r="T71" s="646">
        <f t="shared" ref="T71:V71" si="17">+T17-T44</f>
        <v>0</v>
      </c>
      <c r="U71" s="646">
        <f t="shared" si="17"/>
        <v>0</v>
      </c>
      <c r="V71" s="646">
        <f t="shared" si="17"/>
        <v>0</v>
      </c>
    </row>
    <row r="72" spans="1:22" ht="14.4" x14ac:dyDescent="0.3">
      <c r="A72"/>
      <c r="B72"/>
      <c r="C72"/>
      <c r="D72"/>
      <c r="E72"/>
      <c r="R72" s="647" t="s">
        <v>64</v>
      </c>
      <c r="S72" s="646">
        <f t="shared" si="12"/>
        <v>0</v>
      </c>
      <c r="T72" s="648">
        <f t="shared" ref="T72:V72" si="18">+T18-T45</f>
        <v>0</v>
      </c>
      <c r="U72" s="648">
        <f t="shared" si="18"/>
        <v>0</v>
      </c>
      <c r="V72" s="648">
        <f t="shared" si="18"/>
        <v>0</v>
      </c>
    </row>
    <row r="73" spans="1:22" ht="14.4" x14ac:dyDescent="0.3">
      <c r="A73"/>
      <c r="B73"/>
      <c r="C73"/>
      <c r="D73"/>
      <c r="E73"/>
      <c r="R73" s="647"/>
      <c r="S73" s="647">
        <f t="shared" si="12"/>
        <v>0</v>
      </c>
      <c r="T73" s="647">
        <f t="shared" ref="T73:V73" si="19">+T19-T46</f>
        <v>0</v>
      </c>
      <c r="U73" s="647">
        <f t="shared" si="19"/>
        <v>0</v>
      </c>
      <c r="V73" s="647">
        <f t="shared" si="19"/>
        <v>0</v>
      </c>
    </row>
    <row r="74" spans="1:22" ht="14.4" x14ac:dyDescent="0.3">
      <c r="A74"/>
      <c r="B74"/>
      <c r="C74"/>
      <c r="D74"/>
      <c r="E74"/>
      <c r="R74" s="647" t="s">
        <v>65</v>
      </c>
      <c r="S74" s="661">
        <f t="shared" si="12"/>
        <v>0</v>
      </c>
      <c r="T74" s="662">
        <f t="shared" ref="T74:V74" si="20">+T20-T47</f>
        <v>0</v>
      </c>
      <c r="U74" s="662">
        <f t="shared" si="20"/>
        <v>0</v>
      </c>
      <c r="V74" s="662">
        <f t="shared" si="20"/>
        <v>0</v>
      </c>
    </row>
    <row r="75" spans="1:22" ht="14.4" x14ac:dyDescent="0.3">
      <c r="A75"/>
      <c r="B75"/>
      <c r="C75"/>
      <c r="D75"/>
      <c r="E75"/>
      <c r="R75" s="647" t="s">
        <v>497</v>
      </c>
      <c r="S75" s="651">
        <f t="shared" si="12"/>
        <v>0</v>
      </c>
      <c r="T75" s="650">
        <f t="shared" ref="T75:V75" si="21">+T21-T48</f>
        <v>0</v>
      </c>
      <c r="U75" s="650">
        <f t="shared" si="21"/>
        <v>0</v>
      </c>
      <c r="V75" s="650">
        <f t="shared" si="21"/>
        <v>0</v>
      </c>
    </row>
    <row r="76" spans="1:22" ht="14.4" x14ac:dyDescent="0.3">
      <c r="A76"/>
      <c r="B76"/>
      <c r="C76"/>
      <c r="D76"/>
      <c r="E76"/>
      <c r="R76" s="647" t="s">
        <v>513</v>
      </c>
      <c r="S76" s="647">
        <f t="shared" si="12"/>
        <v>0</v>
      </c>
      <c r="T76" s="660">
        <f t="shared" ref="T76:V76" si="22">+T22-T49</f>
        <v>0</v>
      </c>
      <c r="U76" s="660">
        <f t="shared" si="22"/>
        <v>0</v>
      </c>
      <c r="V76" s="660">
        <f t="shared" si="22"/>
        <v>0</v>
      </c>
    </row>
    <row r="77" spans="1:22" ht="14.4" x14ac:dyDescent="0.3">
      <c r="A77"/>
      <c r="B77"/>
      <c r="C77"/>
      <c r="D77"/>
      <c r="E77"/>
      <c r="R77" s="647" t="s">
        <v>475</v>
      </c>
      <c r="S77" s="646">
        <f t="shared" si="12"/>
        <v>0</v>
      </c>
      <c r="T77" s="646">
        <f t="shared" ref="T77:V77" si="23">+T23-T50</f>
        <v>0</v>
      </c>
      <c r="U77" s="646">
        <f t="shared" si="23"/>
        <v>0</v>
      </c>
      <c r="V77" s="646">
        <f t="shared" si="23"/>
        <v>0</v>
      </c>
    </row>
    <row r="78" spans="1:22" ht="14.4" x14ac:dyDescent="0.3">
      <c r="A78"/>
      <c r="B78"/>
      <c r="C78"/>
      <c r="D78"/>
      <c r="E78"/>
      <c r="R78" s="647" t="s">
        <v>471</v>
      </c>
      <c r="S78" s="646">
        <f t="shared" si="12"/>
        <v>0</v>
      </c>
      <c r="T78" s="646">
        <f t="shared" ref="T78:V78" si="24">+T24-T51</f>
        <v>0</v>
      </c>
      <c r="U78" s="646">
        <f t="shared" si="24"/>
        <v>0</v>
      </c>
      <c r="V78" s="646">
        <f t="shared" si="24"/>
        <v>0</v>
      </c>
    </row>
    <row r="79" spans="1:22" ht="14.4" x14ac:dyDescent="0.3">
      <c r="A79"/>
      <c r="B79"/>
      <c r="C79"/>
      <c r="D79"/>
      <c r="E79"/>
      <c r="R79" s="647" t="s">
        <v>472</v>
      </c>
      <c r="S79" s="646">
        <f t="shared" si="12"/>
        <v>0</v>
      </c>
      <c r="T79" s="646">
        <f t="shared" ref="T79:V79" si="25">+T25-T52</f>
        <v>0</v>
      </c>
      <c r="U79" s="646">
        <f t="shared" si="25"/>
        <v>0</v>
      </c>
      <c r="V79" s="646">
        <f t="shared" si="25"/>
        <v>0</v>
      </c>
    </row>
    <row r="80" spans="1:22" ht="14.4" x14ac:dyDescent="0.3">
      <c r="A80"/>
      <c r="B80"/>
      <c r="C80"/>
      <c r="D80"/>
      <c r="E80"/>
      <c r="R80" s="647" t="s">
        <v>473</v>
      </c>
      <c r="S80" s="646">
        <f t="shared" si="12"/>
        <v>0</v>
      </c>
      <c r="T80" s="648">
        <f t="shared" ref="T80:V80" si="26">+T26-T53</f>
        <v>0</v>
      </c>
      <c r="U80" s="648">
        <f t="shared" si="26"/>
        <v>0</v>
      </c>
      <c r="V80" s="648">
        <f t="shared" si="26"/>
        <v>0</v>
      </c>
    </row>
    <row r="81" spans="1:22" ht="14.4" x14ac:dyDescent="0.3">
      <c r="A81"/>
      <c r="B81"/>
      <c r="C81"/>
      <c r="D81"/>
      <c r="E81"/>
      <c r="R81" s="647"/>
      <c r="S81" s="647">
        <f t="shared" si="12"/>
        <v>0</v>
      </c>
      <c r="T81" s="660">
        <f t="shared" ref="T81:V81" si="27">+T27-T54</f>
        <v>0</v>
      </c>
      <c r="U81" s="660">
        <f t="shared" si="27"/>
        <v>0</v>
      </c>
      <c r="V81" s="660">
        <f t="shared" si="27"/>
        <v>0</v>
      </c>
    </row>
    <row r="82" spans="1:22" ht="14.4" x14ac:dyDescent="0.3">
      <c r="A82"/>
      <c r="B82"/>
      <c r="C82"/>
      <c r="D82"/>
      <c r="E82"/>
      <c r="R82" s="647" t="s">
        <v>474</v>
      </c>
      <c r="S82" s="651">
        <f t="shared" si="12"/>
        <v>0</v>
      </c>
      <c r="T82" s="651">
        <f t="shared" ref="T82:V82" si="28">+T28-T55</f>
        <v>0</v>
      </c>
      <c r="U82" s="651">
        <f t="shared" si="28"/>
        <v>0</v>
      </c>
      <c r="V82" s="651">
        <f t="shared" si="28"/>
        <v>0</v>
      </c>
    </row>
    <row r="83" spans="1:22" ht="14.4" x14ac:dyDescent="0.3">
      <c r="A83"/>
      <c r="B83"/>
      <c r="C83"/>
      <c r="D83"/>
      <c r="E83"/>
      <c r="R83" s="647"/>
      <c r="S83" s="651">
        <f t="shared" si="12"/>
        <v>0</v>
      </c>
      <c r="T83" s="651">
        <f t="shared" ref="T83:V83" si="29">+T29-T56</f>
        <v>0</v>
      </c>
      <c r="U83" s="651">
        <f t="shared" si="29"/>
        <v>0</v>
      </c>
      <c r="V83" s="651">
        <f t="shared" si="29"/>
        <v>0</v>
      </c>
    </row>
    <row r="84" spans="1:22" ht="14.4" x14ac:dyDescent="0.3">
      <c r="A84"/>
      <c r="B84"/>
      <c r="C84"/>
      <c r="D84"/>
      <c r="E84"/>
      <c r="R84" s="647" t="s">
        <v>494</v>
      </c>
      <c r="S84" s="651">
        <f t="shared" si="12"/>
        <v>0</v>
      </c>
      <c r="T84" s="651">
        <f t="shared" ref="T84:V84" si="30">+T30-T57</f>
        <v>0</v>
      </c>
      <c r="U84" s="651">
        <f t="shared" si="30"/>
        <v>0</v>
      </c>
      <c r="V84" s="651">
        <f t="shared" si="30"/>
        <v>0</v>
      </c>
    </row>
    <row r="85" spans="1:22" ht="14.4" x14ac:dyDescent="0.3">
      <c r="A85"/>
      <c r="B85"/>
      <c r="C85"/>
      <c r="D85"/>
      <c r="E85"/>
      <c r="R85" s="647"/>
      <c r="S85" s="651">
        <f t="shared" si="12"/>
        <v>0</v>
      </c>
      <c r="T85" s="663">
        <f t="shared" ref="T85:V85" si="31">+T31-T58</f>
        <v>0</v>
      </c>
      <c r="U85" s="663">
        <f t="shared" si="31"/>
        <v>0</v>
      </c>
      <c r="V85" s="663">
        <f t="shared" si="31"/>
        <v>0</v>
      </c>
    </row>
    <row r="86" spans="1:22" ht="14.4" x14ac:dyDescent="0.3">
      <c r="A86"/>
      <c r="B86"/>
      <c r="C86"/>
      <c r="D86"/>
      <c r="E86"/>
      <c r="R86" s="647" t="s">
        <v>504</v>
      </c>
      <c r="S86" s="651">
        <f t="shared" si="12"/>
        <v>0</v>
      </c>
      <c r="T86" s="651">
        <f t="shared" ref="T86:V86" si="32">+T32-T59</f>
        <v>0</v>
      </c>
      <c r="U86" s="651">
        <f t="shared" si="32"/>
        <v>0</v>
      </c>
      <c r="V86" s="651">
        <f t="shared" si="32"/>
        <v>0</v>
      </c>
    </row>
    <row r="87" spans="1:22" ht="14.4" x14ac:dyDescent="0.3">
      <c r="A87"/>
      <c r="B87"/>
      <c r="C87"/>
      <c r="D87"/>
      <c r="E87"/>
      <c r="R87" s="647"/>
      <c r="S87" s="651">
        <f t="shared" si="12"/>
        <v>0</v>
      </c>
      <c r="T87" s="651">
        <f t="shared" ref="T87:V87" si="33">+T33-T60</f>
        <v>0</v>
      </c>
      <c r="U87" s="651">
        <f t="shared" si="33"/>
        <v>0</v>
      </c>
      <c r="V87" s="651">
        <f t="shared" si="33"/>
        <v>0</v>
      </c>
    </row>
    <row r="88" spans="1:22" ht="14.4" x14ac:dyDescent="0.3">
      <c r="A88"/>
      <c r="B88"/>
      <c r="C88"/>
      <c r="D88"/>
      <c r="E88"/>
      <c r="R88" s="647" t="s">
        <v>493</v>
      </c>
      <c r="S88" s="651">
        <f t="shared" si="12"/>
        <v>0</v>
      </c>
      <c r="T88" s="651">
        <f t="shared" ref="T88:V88" si="34">+T34-T61</f>
        <v>0</v>
      </c>
      <c r="U88" s="651">
        <f t="shared" si="34"/>
        <v>0</v>
      </c>
      <c r="V88" s="651">
        <f t="shared" si="34"/>
        <v>0</v>
      </c>
    </row>
    <row r="89" spans="1:22" ht="14.4" x14ac:dyDescent="0.3">
      <c r="A89"/>
      <c r="B89"/>
      <c r="C89"/>
      <c r="D89"/>
      <c r="E89"/>
      <c r="R89" s="647"/>
      <c r="S89" s="651">
        <f t="shared" si="12"/>
        <v>0</v>
      </c>
      <c r="T89" s="663">
        <f t="shared" ref="T89:V89" si="35">+T35-T62</f>
        <v>0</v>
      </c>
      <c r="U89" s="663">
        <f t="shared" si="35"/>
        <v>0</v>
      </c>
      <c r="V89" s="663">
        <f t="shared" si="35"/>
        <v>0</v>
      </c>
    </row>
    <row r="90" spans="1:22" ht="15" thickBot="1" x14ac:dyDescent="0.35">
      <c r="A90"/>
      <c r="B90"/>
      <c r="C90"/>
      <c r="D90"/>
      <c r="E90"/>
      <c r="R90" s="647" t="s">
        <v>514</v>
      </c>
      <c r="S90" s="645">
        <f t="shared" si="12"/>
        <v>0</v>
      </c>
      <c r="T90" s="664">
        <f t="shared" ref="T90:V90" si="36">+T36-T63</f>
        <v>0</v>
      </c>
      <c r="U90" s="664">
        <f t="shared" si="36"/>
        <v>0</v>
      </c>
      <c r="V90" s="664">
        <f t="shared" si="36"/>
        <v>0</v>
      </c>
    </row>
    <row r="91" spans="1:22" ht="15" thickTop="1" x14ac:dyDescent="0.3">
      <c r="A91"/>
      <c r="B91"/>
      <c r="C91"/>
      <c r="D91"/>
      <c r="E91"/>
    </row>
    <row r="92" spans="1:22" ht="14.4" x14ac:dyDescent="0.3">
      <c r="A92"/>
      <c r="B92"/>
      <c r="C92"/>
      <c r="D92"/>
      <c r="E92"/>
    </row>
    <row r="93" spans="1:22" ht="14.4" x14ac:dyDescent="0.3">
      <c r="A93"/>
      <c r="B93"/>
      <c r="C93"/>
      <c r="D93"/>
      <c r="E93"/>
    </row>
    <row r="94" spans="1:22" ht="14.4" x14ac:dyDescent="0.3">
      <c r="A94"/>
      <c r="B94"/>
      <c r="C94"/>
      <c r="D94"/>
      <c r="E94"/>
    </row>
    <row r="95" spans="1:22" ht="14.4" x14ac:dyDescent="0.3">
      <c r="A95"/>
      <c r="B95"/>
      <c r="C95"/>
      <c r="D95"/>
      <c r="E95"/>
    </row>
    <row r="96" spans="1:22" ht="14.4" x14ac:dyDescent="0.3">
      <c r="A96"/>
      <c r="B96"/>
      <c r="C96"/>
      <c r="D96"/>
      <c r="E96"/>
    </row>
    <row r="97" spans="1:5" ht="14.4" x14ac:dyDescent="0.3">
      <c r="A97"/>
      <c r="B97"/>
      <c r="C97"/>
      <c r="D97"/>
      <c r="E97"/>
    </row>
    <row r="98" spans="1:5" ht="14.4" x14ac:dyDescent="0.3">
      <c r="A98"/>
      <c r="B98"/>
      <c r="C98"/>
      <c r="D98"/>
      <c r="E98"/>
    </row>
    <row r="99" spans="1:5" ht="14.4" x14ac:dyDescent="0.3">
      <c r="A99"/>
      <c r="B99"/>
      <c r="C99"/>
      <c r="D99"/>
      <c r="E99"/>
    </row>
    <row r="100" spans="1:5" ht="14.4" x14ac:dyDescent="0.3">
      <c r="A100"/>
      <c r="B100"/>
      <c r="C100"/>
      <c r="D100"/>
      <c r="E100"/>
    </row>
    <row r="101" spans="1:5" ht="14.4" x14ac:dyDescent="0.3">
      <c r="A101"/>
      <c r="B101"/>
      <c r="C101"/>
      <c r="D101"/>
      <c r="E101"/>
    </row>
    <row r="102" spans="1:5" ht="14.4" x14ac:dyDescent="0.3">
      <c r="A102"/>
      <c r="B102"/>
      <c r="C102"/>
      <c r="D102"/>
      <c r="E102"/>
    </row>
    <row r="103" spans="1:5" ht="14.4" x14ac:dyDescent="0.3">
      <c r="A103"/>
      <c r="B103"/>
      <c r="C103"/>
      <c r="D103"/>
      <c r="E103"/>
    </row>
    <row r="104" spans="1:5" ht="14.4" x14ac:dyDescent="0.3">
      <c r="A104"/>
      <c r="B104"/>
      <c r="C104"/>
      <c r="D104"/>
      <c r="E104"/>
    </row>
    <row r="105" spans="1:5" ht="14.4" x14ac:dyDescent="0.3">
      <c r="A105"/>
      <c r="B105"/>
      <c r="C105"/>
      <c r="D105"/>
      <c r="E105"/>
    </row>
    <row r="106" spans="1:5" ht="14.4" x14ac:dyDescent="0.3">
      <c r="A106"/>
      <c r="B106"/>
      <c r="C106"/>
      <c r="D106"/>
      <c r="E106"/>
    </row>
    <row r="107" spans="1:5" ht="14.4" x14ac:dyDescent="0.3">
      <c r="A107"/>
      <c r="B107"/>
      <c r="C107"/>
      <c r="D107"/>
      <c r="E107"/>
    </row>
    <row r="108" spans="1:5" ht="14.4" x14ac:dyDescent="0.3">
      <c r="A108"/>
      <c r="B108"/>
      <c r="C108"/>
      <c r="D108"/>
      <c r="E108"/>
    </row>
    <row r="109" spans="1:5" ht="14.4" x14ac:dyDescent="0.3">
      <c r="B109" s="159"/>
      <c r="C109" s="159"/>
    </row>
    <row r="110" spans="1:5" ht="14.4" x14ac:dyDescent="0.3">
      <c r="B110" s="159"/>
      <c r="C110" s="159"/>
    </row>
    <row r="111" spans="1:5" ht="14.4" x14ac:dyDescent="0.3">
      <c r="B111" s="159"/>
      <c r="C111" s="159"/>
    </row>
    <row r="112" spans="1:5" ht="14.4" x14ac:dyDescent="0.3">
      <c r="B112" s="159"/>
      <c r="C112" s="159"/>
    </row>
    <row r="113" spans="2:3" ht="14.4" x14ac:dyDescent="0.3">
      <c r="B113" s="159"/>
      <c r="C113" s="159"/>
    </row>
    <row r="114" spans="2:3" ht="14.4" x14ac:dyDescent="0.3">
      <c r="B114" s="159"/>
      <c r="C114" s="159"/>
    </row>
  </sheetData>
  <pageMargins left="0.45" right="0.45" top="0.75" bottom="0.75" header="0.3" footer="0.3"/>
  <pageSetup scale="23" orientation="portrait" r:id="rId1"/>
  <headerFooter>
    <oddFooter>&amp;L&amp;"-,Bold Italic"&amp;10&amp;K0000FFAmounts in bold and italics are different from September 17, 2019 supplemental filing.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15" zoomScaleNormal="115" workbookViewId="0">
      <selection activeCell="B42" sqref="B42"/>
    </sheetView>
  </sheetViews>
  <sheetFormatPr defaultColWidth="9.109375" defaultRowHeight="13.8" x14ac:dyDescent="0.25"/>
  <cols>
    <col min="1" max="1" width="9.109375" style="7"/>
    <col min="2" max="2" width="41.6640625" style="7" bestFit="1" customWidth="1"/>
    <col min="3" max="5" width="12.109375" style="7" customWidth="1"/>
    <col min="6" max="16384" width="9.109375" style="7"/>
  </cols>
  <sheetData>
    <row r="1" spans="1:5" x14ac:dyDescent="0.25">
      <c r="D1" s="34" t="s">
        <v>484</v>
      </c>
      <c r="E1" s="35"/>
    </row>
    <row r="2" spans="1:5" x14ac:dyDescent="0.25">
      <c r="A2" s="187" t="str">
        <f>Comp_GAS</f>
        <v>PUGET SOUND ENERGY - NATURAL GAS</v>
      </c>
      <c r="B2" s="187"/>
      <c r="C2" s="187"/>
      <c r="D2" s="187"/>
      <c r="E2" s="187"/>
    </row>
    <row r="3" spans="1:5" x14ac:dyDescent="0.25">
      <c r="A3" s="187" t="s">
        <v>435</v>
      </c>
      <c r="B3" s="187"/>
      <c r="C3" s="187"/>
      <c r="D3" s="187"/>
      <c r="E3" s="187"/>
    </row>
    <row r="4" spans="1:5" x14ac:dyDescent="0.25">
      <c r="A4" s="187" t="str">
        <f>CASE_GAS</f>
        <v>2019 GENERAL RATE CASE</v>
      </c>
      <c r="B4" s="187"/>
      <c r="C4" s="187"/>
      <c r="D4" s="187"/>
      <c r="E4" s="187"/>
    </row>
    <row r="5" spans="1:5" x14ac:dyDescent="0.25">
      <c r="A5" s="187" t="str">
        <f>TESTYEAR_GAS</f>
        <v>12 MONTHS ENDED DECEMBER 31, 2018</v>
      </c>
      <c r="B5" s="187"/>
      <c r="C5" s="187"/>
      <c r="D5" s="187"/>
      <c r="E5" s="187"/>
    </row>
    <row r="6" spans="1:5" x14ac:dyDescent="0.25">
      <c r="A6" s="187" t="s">
        <v>436</v>
      </c>
      <c r="B6" s="187"/>
      <c r="C6" s="187"/>
      <c r="D6" s="187"/>
      <c r="E6" s="187"/>
    </row>
    <row r="8" spans="1:5" x14ac:dyDescent="0.25">
      <c r="A8" s="240" t="s">
        <v>36</v>
      </c>
      <c r="B8" s="240"/>
      <c r="C8" s="9" t="s">
        <v>266</v>
      </c>
      <c r="D8" s="3"/>
      <c r="E8" s="9" t="s">
        <v>267</v>
      </c>
    </row>
    <row r="9" spans="1:5" x14ac:dyDescent="0.25">
      <c r="A9" s="355" t="s">
        <v>37</v>
      </c>
      <c r="B9" s="355" t="s">
        <v>60</v>
      </c>
      <c r="C9" s="218" t="s">
        <v>268</v>
      </c>
      <c r="D9" s="218" t="s">
        <v>237</v>
      </c>
      <c r="E9" s="218" t="s">
        <v>237</v>
      </c>
    </row>
    <row r="11" spans="1:5" x14ac:dyDescent="0.25">
      <c r="A11" s="245">
        <v>1</v>
      </c>
      <c r="B11" s="25" t="s">
        <v>163</v>
      </c>
      <c r="C11" s="24">
        <v>0.51</v>
      </c>
      <c r="D11" s="24">
        <v>5.7647058823529412E-2</v>
      </c>
      <c r="E11" s="24">
        <f>ROUND(C11*D11,4)</f>
        <v>2.9399999999999999E-2</v>
      </c>
    </row>
    <row r="12" spans="1:5" x14ac:dyDescent="0.25">
      <c r="A12" s="245">
        <f t="shared" ref="A12:A17" si="0">A11+1</f>
        <v>2</v>
      </c>
      <c r="B12" s="25" t="s">
        <v>67</v>
      </c>
      <c r="C12" s="24">
        <v>0.49</v>
      </c>
      <c r="D12" s="24">
        <v>9.5000000000000001E-2</v>
      </c>
      <c r="E12" s="24">
        <f t="shared" ref="E12" si="1">ROUND(C12*D12,4)</f>
        <v>4.6600000000000003E-2</v>
      </c>
    </row>
    <row r="13" spans="1:5" x14ac:dyDescent="0.25">
      <c r="A13" s="245">
        <f t="shared" si="0"/>
        <v>3</v>
      </c>
      <c r="B13" s="25" t="s">
        <v>54</v>
      </c>
      <c r="C13" s="22">
        <f>SUM(C11:C12)</f>
        <v>1</v>
      </c>
      <c r="D13" s="14"/>
      <c r="E13" s="192">
        <f>SUM(E11:E12)</f>
        <v>7.5999999999999998E-2</v>
      </c>
    </row>
    <row r="14" spans="1:5" x14ac:dyDescent="0.25">
      <c r="A14" s="245">
        <f t="shared" si="0"/>
        <v>4</v>
      </c>
      <c r="B14" s="25"/>
    </row>
    <row r="15" spans="1:5" x14ac:dyDescent="0.25">
      <c r="A15" s="245">
        <f t="shared" si="0"/>
        <v>5</v>
      </c>
      <c r="B15" s="25" t="s">
        <v>270</v>
      </c>
      <c r="C15" s="24">
        <f>+C11</f>
        <v>0.51</v>
      </c>
      <c r="D15" s="24">
        <f>D11*0.79</f>
        <v>4.5541176470588238E-2</v>
      </c>
      <c r="E15" s="24">
        <f>ROUND(E11*0.79,4)</f>
        <v>2.3199999999999998E-2</v>
      </c>
    </row>
    <row r="16" spans="1:5" x14ac:dyDescent="0.25">
      <c r="A16" s="245">
        <f t="shared" si="0"/>
        <v>6</v>
      </c>
      <c r="B16" s="25" t="s">
        <v>67</v>
      </c>
      <c r="C16" s="24">
        <f>+C12</f>
        <v>0.49</v>
      </c>
      <c r="D16" s="24">
        <f>+D12</f>
        <v>9.5000000000000001E-2</v>
      </c>
      <c r="E16" s="24">
        <f>ROUND(C16*D16,4)</f>
        <v>4.6600000000000003E-2</v>
      </c>
    </row>
    <row r="17" spans="1:5" x14ac:dyDescent="0.25">
      <c r="A17" s="245">
        <f t="shared" si="0"/>
        <v>7</v>
      </c>
      <c r="B17" s="25" t="s">
        <v>68</v>
      </c>
      <c r="C17" s="22">
        <f>SUM(C15:C16)</f>
        <v>1</v>
      </c>
      <c r="D17" s="14"/>
      <c r="E17" s="192">
        <f>SUM(E15:E16)</f>
        <v>6.9800000000000001E-2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zoomScale="85" zoomScaleNormal="85" workbookViewId="0">
      <pane xSplit="2" ySplit="11" topLeftCell="C42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ColWidth="9.109375" defaultRowHeight="13.8" x14ac:dyDescent="0.25"/>
  <cols>
    <col min="1" max="1" width="4.5546875" style="7" bestFit="1" customWidth="1"/>
    <col min="2" max="2" width="38.6640625" style="7" customWidth="1"/>
    <col min="3" max="3" width="17.33203125" style="7" bestFit="1" customWidth="1"/>
    <col min="4" max="4" width="15.33203125" style="7" customWidth="1"/>
    <col min="5" max="5" width="17" style="7" customWidth="1"/>
    <col min="6" max="6" width="15.33203125" style="7" customWidth="1"/>
    <col min="7" max="7" width="17" style="7" customWidth="1"/>
    <col min="8" max="8" width="15.33203125" style="7" customWidth="1"/>
    <col min="9" max="9" width="17.109375" style="7" customWidth="1"/>
    <col min="10" max="10" width="12.5546875" style="7" bestFit="1" customWidth="1"/>
    <col min="11" max="16384" width="9.109375" style="7"/>
  </cols>
  <sheetData>
    <row r="1" spans="1:9" x14ac:dyDescent="0.25">
      <c r="A1" s="33" t="s">
        <v>38</v>
      </c>
      <c r="C1" s="33"/>
      <c r="H1" s="34" t="s">
        <v>586</v>
      </c>
      <c r="I1" s="35"/>
    </row>
    <row r="2" spans="1:9" x14ac:dyDescent="0.25">
      <c r="A2" s="33" t="s">
        <v>430</v>
      </c>
      <c r="C2" s="33"/>
    </row>
    <row r="3" spans="1:9" x14ac:dyDescent="0.25">
      <c r="A3" s="33" t="s">
        <v>196</v>
      </c>
      <c r="C3" s="33"/>
    </row>
    <row r="4" spans="1:9" x14ac:dyDescent="0.25">
      <c r="A4" s="33" t="str">
        <f>CASE_GAS</f>
        <v>2019 GENERAL RATE CASE</v>
      </c>
      <c r="C4" s="33"/>
    </row>
    <row r="5" spans="1:9" x14ac:dyDescent="0.25">
      <c r="A5" s="33" t="str">
        <f>TESTYEAR_GAS</f>
        <v>12 MONTHS ENDED DECEMBER 31, 2018</v>
      </c>
      <c r="C5" s="33"/>
    </row>
    <row r="6" spans="1:9" x14ac:dyDescent="0.25">
      <c r="C6" s="8"/>
      <c r="D6" s="8"/>
      <c r="E6" s="8"/>
      <c r="F6" s="8"/>
    </row>
    <row r="9" spans="1:9" x14ac:dyDescent="0.25">
      <c r="C9" s="580" t="s">
        <v>33</v>
      </c>
      <c r="D9" s="580"/>
      <c r="E9" s="580" t="s">
        <v>82</v>
      </c>
      <c r="F9" s="580"/>
      <c r="G9" s="580" t="s">
        <v>55</v>
      </c>
      <c r="H9" s="240" t="s">
        <v>476</v>
      </c>
      <c r="I9" s="580" t="s">
        <v>56</v>
      </c>
    </row>
    <row r="10" spans="1:9" ht="13.5" customHeight="1" x14ac:dyDescent="0.25">
      <c r="A10" s="580" t="s">
        <v>36</v>
      </c>
      <c r="B10" s="580" t="s">
        <v>60</v>
      </c>
      <c r="C10" s="580" t="s">
        <v>34</v>
      </c>
      <c r="D10" s="580" t="s">
        <v>182</v>
      </c>
      <c r="E10" s="580" t="s">
        <v>34</v>
      </c>
      <c r="F10" s="580" t="s">
        <v>78</v>
      </c>
      <c r="G10" s="580" t="s">
        <v>34</v>
      </c>
      <c r="H10" s="240" t="s">
        <v>477</v>
      </c>
      <c r="I10" s="580" t="s">
        <v>58</v>
      </c>
    </row>
    <row r="11" spans="1:9" x14ac:dyDescent="0.25">
      <c r="A11" s="580" t="s">
        <v>37</v>
      </c>
      <c r="C11" s="580" t="s">
        <v>35</v>
      </c>
      <c r="D11" s="580" t="s">
        <v>57</v>
      </c>
      <c r="E11" s="580" t="s">
        <v>59</v>
      </c>
      <c r="F11" s="580" t="s">
        <v>57</v>
      </c>
      <c r="G11" s="632" t="s">
        <v>59</v>
      </c>
      <c r="H11" s="303" t="s">
        <v>478</v>
      </c>
      <c r="I11" s="632" t="str">
        <f>IF(H17&lt;0,"DECREASE","INCREASE")</f>
        <v>INCREASE</v>
      </c>
    </row>
    <row r="12" spans="1:9" x14ac:dyDescent="0.25">
      <c r="C12" s="9" t="s">
        <v>197</v>
      </c>
      <c r="D12" s="9" t="s">
        <v>198</v>
      </c>
      <c r="E12" s="9" t="s">
        <v>432</v>
      </c>
      <c r="F12" s="9" t="s">
        <v>199</v>
      </c>
      <c r="G12" s="9" t="s">
        <v>433</v>
      </c>
      <c r="H12" s="9" t="s">
        <v>201</v>
      </c>
      <c r="I12" s="9" t="s">
        <v>434</v>
      </c>
    </row>
    <row r="13" spans="1:9" x14ac:dyDescent="0.25">
      <c r="A13" s="245">
        <v>1</v>
      </c>
      <c r="B13" s="247" t="s">
        <v>0</v>
      </c>
    </row>
    <row r="14" spans="1:9" ht="14.4" x14ac:dyDescent="0.3">
      <c r="A14" s="245">
        <f t="shared" ref="A14:A62" si="0">A13+1</f>
        <v>2</v>
      </c>
      <c r="B14" s="247" t="s">
        <v>1</v>
      </c>
      <c r="C14" s="588">
        <f>+'Detailed Summary'!C14</f>
        <v>876657675.66999984</v>
      </c>
      <c r="D14" s="589">
        <f>+'Detailed Summary'!Y14</f>
        <v>-151442424.21733457</v>
      </c>
      <c r="E14" s="589">
        <f>SUM(C14:D14)</f>
        <v>725215251.45266533</v>
      </c>
      <c r="F14" s="588">
        <f>+'Detailed Summary'!AV14</f>
        <v>25586673.006034397</v>
      </c>
      <c r="G14" s="589">
        <f>SUM(E14:F14)</f>
        <v>750801924.4586997</v>
      </c>
      <c r="H14" s="589">
        <f>'COC, Def, ConvF'!C21</f>
        <v>88095896</v>
      </c>
      <c r="I14" s="589">
        <f>SUM(G14:H14)</f>
        <v>838897820.4586997</v>
      </c>
    </row>
    <row r="15" spans="1:9" x14ac:dyDescent="0.25">
      <c r="A15" s="245">
        <f t="shared" si="0"/>
        <v>3</v>
      </c>
      <c r="B15" s="247" t="s">
        <v>246</v>
      </c>
      <c r="C15" s="592">
        <f>+'Detailed Summary'!C15</f>
        <v>0</v>
      </c>
      <c r="D15" s="592">
        <f>+'Detailed Summary'!Y15</f>
        <v>0</v>
      </c>
      <c r="E15" s="592">
        <f>SUM(C15:D15)</f>
        <v>0</v>
      </c>
      <c r="F15" s="592">
        <f>+'Detailed Summary'!AV15</f>
        <v>0</v>
      </c>
      <c r="G15" s="592">
        <f>SUM(E15:F15)</f>
        <v>0</v>
      </c>
      <c r="H15" s="592"/>
      <c r="I15" s="592">
        <f>SUM(G15:H15)</f>
        <v>0</v>
      </c>
    </row>
    <row r="16" spans="1:9" x14ac:dyDescent="0.25">
      <c r="A16" s="245">
        <f t="shared" si="0"/>
        <v>4</v>
      </c>
      <c r="B16" s="247" t="s">
        <v>2</v>
      </c>
      <c r="C16" s="592">
        <f>+'Detailed Summary'!C16</f>
        <v>-25909998.579999998</v>
      </c>
      <c r="D16" s="592">
        <f>+'Detailed Summary'!Y16</f>
        <v>46115261.559999995</v>
      </c>
      <c r="E16" s="592">
        <f>SUM(C16:D16)</f>
        <v>20205262.979999997</v>
      </c>
      <c r="F16" s="592">
        <f>+'Detailed Summary'!AV16</f>
        <v>-9854969.0099999998</v>
      </c>
      <c r="G16" s="592">
        <f>SUM(E16:F16)</f>
        <v>10350293.969999997</v>
      </c>
      <c r="H16" s="592"/>
      <c r="I16" s="592">
        <f>SUM(G16:H16)</f>
        <v>10350293.969999997</v>
      </c>
    </row>
    <row r="17" spans="1:10" ht="14.4" x14ac:dyDescent="0.3">
      <c r="A17" s="245">
        <f t="shared" si="0"/>
        <v>5</v>
      </c>
      <c r="B17" s="247" t="s">
        <v>3</v>
      </c>
      <c r="C17" s="10">
        <f t="shared" ref="C17:I17" si="1">SUM(C14:C16)</f>
        <v>850747677.08999979</v>
      </c>
      <c r="D17" s="594">
        <f t="shared" si="1"/>
        <v>-105327162.65733457</v>
      </c>
      <c r="E17" s="594">
        <f t="shared" si="1"/>
        <v>745420514.43266535</v>
      </c>
      <c r="F17" s="10">
        <f t="shared" si="1"/>
        <v>15731703.996034397</v>
      </c>
      <c r="G17" s="594">
        <f t="shared" si="1"/>
        <v>761152218.42869973</v>
      </c>
      <c r="H17" s="594">
        <f t="shared" si="1"/>
        <v>88095896</v>
      </c>
      <c r="I17" s="594">
        <f t="shared" si="1"/>
        <v>849248114.42869973</v>
      </c>
    </row>
    <row r="18" spans="1:10" s="40" customFormat="1" x14ac:dyDescent="0.25">
      <c r="A18" s="245">
        <f t="shared" si="0"/>
        <v>6</v>
      </c>
      <c r="B18" s="596"/>
      <c r="C18" s="592"/>
      <c r="D18" s="592"/>
      <c r="E18" s="592"/>
      <c r="F18" s="592"/>
      <c r="G18" s="592"/>
      <c r="H18" s="592"/>
      <c r="I18" s="592"/>
    </row>
    <row r="19" spans="1:10" x14ac:dyDescent="0.25">
      <c r="A19" s="245">
        <f t="shared" si="0"/>
        <v>7</v>
      </c>
      <c r="B19" s="247" t="s">
        <v>4</v>
      </c>
      <c r="F19" s="592"/>
      <c r="G19" s="592"/>
    </row>
    <row r="20" spans="1:10" x14ac:dyDescent="0.25">
      <c r="A20" s="245">
        <f t="shared" si="0"/>
        <v>8</v>
      </c>
      <c r="B20" s="25"/>
    </row>
    <row r="21" spans="1:10" x14ac:dyDescent="0.25">
      <c r="A21" s="245">
        <f t="shared" si="0"/>
        <v>9</v>
      </c>
      <c r="B21" s="247" t="s">
        <v>247</v>
      </c>
    </row>
    <row r="22" spans="1:10" x14ac:dyDescent="0.25">
      <c r="A22" s="245">
        <f t="shared" si="0"/>
        <v>10</v>
      </c>
      <c r="B22" s="247"/>
      <c r="C22" s="11">
        <f>+'Detailed Summary'!C22</f>
        <v>0</v>
      </c>
      <c r="D22" s="11">
        <f>+'Detailed Summary'!Y22</f>
        <v>0</v>
      </c>
      <c r="E22" s="11">
        <f>SUM(C22:D22)</f>
        <v>0</v>
      </c>
      <c r="F22" s="11">
        <f>+'Detailed Summary'!AV22</f>
        <v>0</v>
      </c>
      <c r="G22" s="11">
        <f>SUM(E22:F22)</f>
        <v>0</v>
      </c>
      <c r="H22" s="12"/>
      <c r="I22" s="11">
        <f>SUM(G22:H22)</f>
        <v>0</v>
      </c>
    </row>
    <row r="23" spans="1:10" ht="14.4" x14ac:dyDescent="0.3">
      <c r="A23" s="245">
        <f t="shared" si="0"/>
        <v>11</v>
      </c>
      <c r="B23" s="247" t="s">
        <v>248</v>
      </c>
      <c r="C23" s="592">
        <f>+'Detailed Summary'!C23</f>
        <v>296699052.05999887</v>
      </c>
      <c r="D23" s="597">
        <f>+'Detailed Summary'!Y23</f>
        <v>-19369201.32055793</v>
      </c>
      <c r="E23" s="597">
        <f>SUM(C23:D23)</f>
        <v>277329850.73944092</v>
      </c>
      <c r="F23" s="592">
        <f>+'Detailed Summary'!AV23</f>
        <v>15518806.039205611</v>
      </c>
      <c r="G23" s="597">
        <f>SUM(E23:F23)</f>
        <v>292848656.77864653</v>
      </c>
      <c r="H23" s="633"/>
      <c r="I23" s="597">
        <f>SUM(G23:H23)</f>
        <v>292848656.77864653</v>
      </c>
    </row>
    <row r="24" spans="1:10" ht="14.4" x14ac:dyDescent="0.3">
      <c r="A24" s="245">
        <f t="shared" si="0"/>
        <v>12</v>
      </c>
      <c r="B24" s="25"/>
      <c r="C24" s="592">
        <f>+'Detailed Summary'!C24</f>
        <v>0</v>
      </c>
      <c r="D24" s="597">
        <f>+'Detailed Summary'!Y24</f>
        <v>0</v>
      </c>
      <c r="E24" s="597">
        <f>SUM(C24:D24)</f>
        <v>0</v>
      </c>
      <c r="F24" s="592">
        <f>+'Detailed Summary'!AV24</f>
        <v>0</v>
      </c>
      <c r="G24" s="597">
        <f>SUM(E24:F24)</f>
        <v>0</v>
      </c>
      <c r="H24" s="633"/>
      <c r="I24" s="597">
        <f>SUM(G24:H24)</f>
        <v>0</v>
      </c>
    </row>
    <row r="25" spans="1:10" ht="14.4" x14ac:dyDescent="0.3">
      <c r="A25" s="245">
        <f t="shared" si="0"/>
        <v>13</v>
      </c>
      <c r="B25" s="247" t="s">
        <v>5</v>
      </c>
      <c r="C25" s="13">
        <f t="shared" ref="C25:I25" si="2">SUM(C21:C24)</f>
        <v>296699052.05999887</v>
      </c>
      <c r="D25" s="599">
        <f t="shared" si="2"/>
        <v>-19369201.32055793</v>
      </c>
      <c r="E25" s="599">
        <f t="shared" si="2"/>
        <v>277329850.73944092</v>
      </c>
      <c r="F25" s="13">
        <f t="shared" si="2"/>
        <v>15518806.039205611</v>
      </c>
      <c r="G25" s="599">
        <f t="shared" si="2"/>
        <v>292848656.77864653</v>
      </c>
      <c r="H25" s="10">
        <f t="shared" si="2"/>
        <v>0</v>
      </c>
      <c r="I25" s="599">
        <f t="shared" si="2"/>
        <v>292848656.77864653</v>
      </c>
      <c r="J25" s="12"/>
    </row>
    <row r="26" spans="1:10" x14ac:dyDescent="0.25">
      <c r="A26" s="245">
        <f t="shared" si="0"/>
        <v>14</v>
      </c>
      <c r="B26" s="247"/>
      <c r="C26" s="11"/>
      <c r="D26" s="11"/>
      <c r="E26" s="11"/>
      <c r="F26" s="11"/>
      <c r="G26" s="11"/>
      <c r="H26" s="12"/>
      <c r="I26" s="11"/>
    </row>
    <row r="27" spans="1:10" x14ac:dyDescent="0.25">
      <c r="A27" s="245">
        <f t="shared" si="0"/>
        <v>15</v>
      </c>
      <c r="B27" s="601" t="s">
        <v>6</v>
      </c>
      <c r="C27" s="11">
        <f>+'Detailed Summary'!C27</f>
        <v>6042805.129999999</v>
      </c>
      <c r="D27" s="11">
        <f>+'Detailed Summary'!Y27</f>
        <v>18583.731398664269</v>
      </c>
      <c r="E27" s="11">
        <f t="shared" ref="E27:E41" si="3">SUM(C27:D27)</f>
        <v>6061388.8613986634</v>
      </c>
      <c r="F27" s="11">
        <f>+'Detailed Summary'!AV27</f>
        <v>110776.01203954894</v>
      </c>
      <c r="G27" s="11">
        <f t="shared" ref="G27:G41" si="4">SUM(E27:F27)</f>
        <v>6172164.8734382121</v>
      </c>
      <c r="H27" s="12"/>
      <c r="I27" s="11">
        <f t="shared" ref="I27:I41" si="5">SUM(G27:H27)</f>
        <v>6172164.8734382121</v>
      </c>
    </row>
    <row r="28" spans="1:10" x14ac:dyDescent="0.25">
      <c r="A28" s="245">
        <f t="shared" si="0"/>
        <v>16</v>
      </c>
      <c r="B28" s="247" t="s">
        <v>7</v>
      </c>
      <c r="C28" s="592">
        <f>+'Detailed Summary'!C28</f>
        <v>2110.77</v>
      </c>
      <c r="D28" s="592">
        <f>+'Detailed Summary'!Y28</f>
        <v>0</v>
      </c>
      <c r="E28" s="592">
        <f t="shared" si="3"/>
        <v>2110.77</v>
      </c>
      <c r="F28" s="592">
        <f>+'Detailed Summary'!AV28</f>
        <v>57.75</v>
      </c>
      <c r="G28" s="592">
        <f t="shared" si="4"/>
        <v>2168.52</v>
      </c>
      <c r="H28" s="633"/>
      <c r="I28" s="592">
        <f t="shared" si="5"/>
        <v>2168.52</v>
      </c>
    </row>
    <row r="29" spans="1:10" x14ac:dyDescent="0.25">
      <c r="A29" s="245">
        <f t="shared" si="0"/>
        <v>17</v>
      </c>
      <c r="B29" s="247" t="s">
        <v>8</v>
      </c>
      <c r="C29" s="592">
        <f>+'Detailed Summary'!C29</f>
        <v>60174168.099999979</v>
      </c>
      <c r="D29" s="592">
        <f>+'Detailed Summary'!Y29</f>
        <v>523457.26844154485</v>
      </c>
      <c r="E29" s="592">
        <f t="shared" si="3"/>
        <v>60697625.368441522</v>
      </c>
      <c r="F29" s="592">
        <f>+'Detailed Summary'!AV29</f>
        <v>1628823.3921382427</v>
      </c>
      <c r="G29" s="592">
        <f t="shared" si="4"/>
        <v>62326448.760579765</v>
      </c>
      <c r="H29" s="633"/>
      <c r="I29" s="592">
        <f t="shared" si="5"/>
        <v>62326448.760579765</v>
      </c>
    </row>
    <row r="30" spans="1:10" ht="14.4" x14ac:dyDescent="0.3">
      <c r="A30" s="245">
        <f t="shared" si="0"/>
        <v>18</v>
      </c>
      <c r="B30" s="247" t="s">
        <v>9</v>
      </c>
      <c r="C30" s="592">
        <f>+'Detailed Summary'!C30</f>
        <v>29807451.619999997</v>
      </c>
      <c r="D30" s="597">
        <f>+'Detailed Summary'!Y30</f>
        <v>-133990.36978145252</v>
      </c>
      <c r="E30" s="597">
        <f t="shared" si="3"/>
        <v>29673461.250218544</v>
      </c>
      <c r="F30" s="592">
        <f>+'Detailed Summary'!AV30</f>
        <v>24677.491464972962</v>
      </c>
      <c r="G30" s="597">
        <f t="shared" si="4"/>
        <v>29698138.741683517</v>
      </c>
      <c r="H30" s="634">
        <f>'COC, Def, ConvF'!C21*'COC, Def, ConvF'!M12</f>
        <v>451403.37110400002</v>
      </c>
      <c r="I30" s="597">
        <f t="shared" si="5"/>
        <v>30149542.112787515</v>
      </c>
    </row>
    <row r="31" spans="1:10" ht="14.4" x14ac:dyDescent="0.3">
      <c r="A31" s="245">
        <f t="shared" si="0"/>
        <v>19</v>
      </c>
      <c r="B31" s="247" t="s">
        <v>10</v>
      </c>
      <c r="C31" s="592">
        <f>+'Detailed Summary'!C31</f>
        <v>6574431.0799999991</v>
      </c>
      <c r="D31" s="592">
        <f>+'Detailed Summary'!Y31</f>
        <v>-4811195.0053552855</v>
      </c>
      <c r="E31" s="592">
        <f t="shared" si="3"/>
        <v>1763236.0746447137</v>
      </c>
      <c r="F31" s="592">
        <f>+'Detailed Summary'!AV31</f>
        <v>31612.10595257883</v>
      </c>
      <c r="G31" s="592">
        <f t="shared" si="4"/>
        <v>1794848.1805972925</v>
      </c>
      <c r="H31" s="634"/>
      <c r="I31" s="592">
        <f t="shared" si="5"/>
        <v>1794848.1805972925</v>
      </c>
    </row>
    <row r="32" spans="1:10" ht="14.4" x14ac:dyDescent="0.3">
      <c r="A32" s="245">
        <f t="shared" si="0"/>
        <v>20</v>
      </c>
      <c r="B32" s="247" t="s">
        <v>11</v>
      </c>
      <c r="C32" s="592">
        <f>+'Detailed Summary'!C32</f>
        <v>14625833.34</v>
      </c>
      <c r="D32" s="592">
        <f>+'Detailed Summary'!Y32</f>
        <v>-14625833.34</v>
      </c>
      <c r="E32" s="592">
        <f t="shared" si="3"/>
        <v>0</v>
      </c>
      <c r="F32" s="592">
        <f>+'Detailed Summary'!AV32</f>
        <v>0</v>
      </c>
      <c r="G32" s="592">
        <f t="shared" si="4"/>
        <v>0</v>
      </c>
      <c r="H32" s="634"/>
      <c r="I32" s="592">
        <f t="shared" si="5"/>
        <v>0</v>
      </c>
    </row>
    <row r="33" spans="1:9" ht="14.4" x14ac:dyDescent="0.3">
      <c r="A33" s="245">
        <f t="shared" si="0"/>
        <v>21</v>
      </c>
      <c r="B33" s="247" t="s">
        <v>12</v>
      </c>
      <c r="C33" s="592">
        <f>+'Detailed Summary'!C33</f>
        <v>57249534.549999997</v>
      </c>
      <c r="D33" s="597">
        <f>+'Detailed Summary'!Y33</f>
        <v>2453749.2001367798</v>
      </c>
      <c r="E33" s="597">
        <f t="shared" si="3"/>
        <v>59703283.750136778</v>
      </c>
      <c r="F33" s="592">
        <f>+'Detailed Summary'!AV33</f>
        <v>904879.93313714105</v>
      </c>
      <c r="G33" s="597">
        <f t="shared" si="4"/>
        <v>60608163.683273919</v>
      </c>
      <c r="H33" s="634">
        <f>'COC, Def, ConvF'!C21*'COC, Def, ConvF'!M13</f>
        <v>176191.79200000002</v>
      </c>
      <c r="I33" s="597">
        <f t="shared" si="5"/>
        <v>60784355.475273922</v>
      </c>
    </row>
    <row r="34" spans="1:9" ht="14.4" x14ac:dyDescent="0.3">
      <c r="A34" s="245">
        <f t="shared" si="0"/>
        <v>22</v>
      </c>
      <c r="B34" s="247" t="s">
        <v>13</v>
      </c>
      <c r="C34" s="592">
        <f>+'Detailed Summary'!C34</f>
        <v>116957730.5099999</v>
      </c>
      <c r="D34" s="592">
        <f>+'Detailed Summary'!Y34</f>
        <v>4136955.6219727392</v>
      </c>
      <c r="E34" s="592">
        <f t="shared" si="3"/>
        <v>121094686.13197264</v>
      </c>
      <c r="F34" s="592">
        <f>+'Detailed Summary'!AV34</f>
        <v>1609714.999243771</v>
      </c>
      <c r="G34" s="592">
        <f t="shared" si="4"/>
        <v>122704401.13121641</v>
      </c>
      <c r="H34" s="634"/>
      <c r="I34" s="592">
        <f t="shared" si="5"/>
        <v>122704401.13121641</v>
      </c>
    </row>
    <row r="35" spans="1:9" ht="14.4" x14ac:dyDescent="0.3">
      <c r="A35" s="245">
        <f t="shared" si="0"/>
        <v>23</v>
      </c>
      <c r="B35" s="247" t="s">
        <v>14</v>
      </c>
      <c r="C35" s="592">
        <f>+'Detailed Summary'!C35</f>
        <v>26117569.960000001</v>
      </c>
      <c r="D35" s="592">
        <f>+'Detailed Summary'!Y35</f>
        <v>8190016.0321619846</v>
      </c>
      <c r="E35" s="592">
        <f t="shared" si="3"/>
        <v>34307585.992161989</v>
      </c>
      <c r="F35" s="592">
        <f>+'Detailed Summary'!AV35</f>
        <v>4517582.2086317996</v>
      </c>
      <c r="G35" s="592">
        <f t="shared" si="4"/>
        <v>38825168.200793788</v>
      </c>
      <c r="H35" s="634"/>
      <c r="I35" s="592">
        <f t="shared" si="5"/>
        <v>38825168.200793788</v>
      </c>
    </row>
    <row r="36" spans="1:9" ht="14.4" x14ac:dyDescent="0.3">
      <c r="A36" s="245">
        <f t="shared" si="0"/>
        <v>24</v>
      </c>
      <c r="B36" s="601" t="s">
        <v>15</v>
      </c>
      <c r="C36" s="592">
        <f>+'Detailed Summary'!C36</f>
        <v>0</v>
      </c>
      <c r="D36" s="592">
        <f>+'Detailed Summary'!Y36</f>
        <v>0</v>
      </c>
      <c r="E36" s="592">
        <f t="shared" si="3"/>
        <v>0</v>
      </c>
      <c r="F36" s="592">
        <f>+'Detailed Summary'!AV36</f>
        <v>0</v>
      </c>
      <c r="G36" s="592">
        <f t="shared" si="4"/>
        <v>0</v>
      </c>
      <c r="H36" s="634"/>
      <c r="I36" s="592">
        <f t="shared" si="5"/>
        <v>0</v>
      </c>
    </row>
    <row r="37" spans="1:9" ht="14.4" x14ac:dyDescent="0.3">
      <c r="A37" s="245">
        <f t="shared" si="0"/>
        <v>25</v>
      </c>
      <c r="B37" s="247" t="s">
        <v>16</v>
      </c>
      <c r="C37" s="592">
        <f>+'Detailed Summary'!C37</f>
        <v>8769360.9199999981</v>
      </c>
      <c r="D37" s="592">
        <f>+'Detailed Summary'!Y37</f>
        <v>0</v>
      </c>
      <c r="E37" s="592">
        <f t="shared" si="3"/>
        <v>8769360.9199999981</v>
      </c>
      <c r="F37" s="597">
        <f>+'Detailed Summary'!AV37</f>
        <v>7109782.4571256954</v>
      </c>
      <c r="G37" s="597">
        <f t="shared" si="4"/>
        <v>15879143.377125693</v>
      </c>
      <c r="H37" s="634"/>
      <c r="I37" s="597">
        <f t="shared" si="5"/>
        <v>15879143.377125693</v>
      </c>
    </row>
    <row r="38" spans="1:9" ht="14.4" x14ac:dyDescent="0.3">
      <c r="A38" s="245">
        <f t="shared" si="0"/>
        <v>26</v>
      </c>
      <c r="B38" s="25" t="s">
        <v>17</v>
      </c>
      <c r="C38" s="592">
        <f>+'Detailed Summary'!C38</f>
        <v>0</v>
      </c>
      <c r="D38" s="592">
        <f>+'Detailed Summary'!Y38</f>
        <v>0</v>
      </c>
      <c r="E38" s="592">
        <f t="shared" si="3"/>
        <v>0</v>
      </c>
      <c r="F38" s="592">
        <f>+'Detailed Summary'!AV38</f>
        <v>0</v>
      </c>
      <c r="G38" s="592">
        <f t="shared" si="4"/>
        <v>0</v>
      </c>
      <c r="H38" s="634"/>
      <c r="I38" s="592">
        <f t="shared" si="5"/>
        <v>0</v>
      </c>
    </row>
    <row r="39" spans="1:9" ht="14.4" x14ac:dyDescent="0.3">
      <c r="A39" s="245">
        <f t="shared" si="0"/>
        <v>27</v>
      </c>
      <c r="B39" s="247" t="s">
        <v>18</v>
      </c>
      <c r="C39" s="592">
        <f>+'Detailed Summary'!C39</f>
        <v>101477296.77</v>
      </c>
      <c r="D39" s="597">
        <f>+'Detailed Summary'!Y39</f>
        <v>-65981963.438715301</v>
      </c>
      <c r="E39" s="597">
        <f t="shared" si="3"/>
        <v>35495333.331284694</v>
      </c>
      <c r="F39" s="592">
        <f>+'Detailed Summary'!AV39</f>
        <v>843395.41824766889</v>
      </c>
      <c r="G39" s="597">
        <f t="shared" si="4"/>
        <v>36338728.749532364</v>
      </c>
      <c r="H39" s="634">
        <f>'COC, Def, ConvF'!C21*'COC, Def, ConvF'!M14</f>
        <v>3376099.0224080002</v>
      </c>
      <c r="I39" s="597">
        <f t="shared" si="5"/>
        <v>39714827.771940365</v>
      </c>
    </row>
    <row r="40" spans="1:9" ht="14.4" x14ac:dyDescent="0.3">
      <c r="A40" s="245">
        <f t="shared" si="0"/>
        <v>28</v>
      </c>
      <c r="B40" s="247" t="s">
        <v>19</v>
      </c>
      <c r="C40" s="592">
        <f>+'Detailed Summary'!C40</f>
        <v>31944158.879999999</v>
      </c>
      <c r="D40" s="597">
        <f>+'Detailed Summary'!Y40</f>
        <v>-27474214.24599563</v>
      </c>
      <c r="E40" s="597">
        <f t="shared" si="3"/>
        <v>4469944.6340043694</v>
      </c>
      <c r="F40" s="597">
        <f>+'Detailed Summary'!AV40</f>
        <v>-3296660.4821720519</v>
      </c>
      <c r="G40" s="597">
        <f t="shared" si="4"/>
        <v>1173284.1518323175</v>
      </c>
      <c r="H40" s="634">
        <f>'COC, Def, ConvF'!C21*'COC, Def, ConvF'!M19</f>
        <v>17659350.928576</v>
      </c>
      <c r="I40" s="597">
        <f t="shared" si="5"/>
        <v>18832635.080408316</v>
      </c>
    </row>
    <row r="41" spans="1:9" ht="14.4" x14ac:dyDescent="0.3">
      <c r="A41" s="245">
        <f t="shared" si="0"/>
        <v>29</v>
      </c>
      <c r="B41" s="25" t="s">
        <v>20</v>
      </c>
      <c r="C41" s="592">
        <f>+'Detailed Summary'!C41</f>
        <v>-9558130.5899999961</v>
      </c>
      <c r="D41" s="592">
        <f>+'Detailed Summary'!Y41</f>
        <v>10081450.108688122</v>
      </c>
      <c r="E41" s="592">
        <f t="shared" si="3"/>
        <v>523319.51868812554</v>
      </c>
      <c r="F41" s="592">
        <f>+'Detailed Summary'!AV41</f>
        <v>-722630.37767299998</v>
      </c>
      <c r="G41" s="592">
        <f t="shared" si="4"/>
        <v>-199310.85898487445</v>
      </c>
      <c r="H41" s="597"/>
      <c r="I41" s="592">
        <f t="shared" si="5"/>
        <v>-199310.85898487445</v>
      </c>
    </row>
    <row r="42" spans="1:9" ht="14.4" x14ac:dyDescent="0.3">
      <c r="A42" s="245">
        <f t="shared" si="0"/>
        <v>30</v>
      </c>
      <c r="B42" s="247" t="s">
        <v>21</v>
      </c>
      <c r="C42" s="13">
        <f t="shared" ref="C42:I42" si="6">SUM(C25:C41)</f>
        <v>746883373.09999859</v>
      </c>
      <c r="D42" s="599">
        <f t="shared" si="6"/>
        <v>-106992185.75760576</v>
      </c>
      <c r="E42" s="599">
        <f t="shared" si="6"/>
        <v>639891187.3423928</v>
      </c>
      <c r="F42" s="599">
        <f t="shared" si="6"/>
        <v>28280816.947341975</v>
      </c>
      <c r="G42" s="599">
        <f t="shared" si="6"/>
        <v>668172004.28973508</v>
      </c>
      <c r="H42" s="599">
        <f t="shared" si="6"/>
        <v>21663045.114087999</v>
      </c>
      <c r="I42" s="599">
        <f t="shared" si="6"/>
        <v>689835049.4038229</v>
      </c>
    </row>
    <row r="43" spans="1:9" ht="14.4" x14ac:dyDescent="0.3">
      <c r="A43" s="245">
        <f t="shared" si="0"/>
        <v>31</v>
      </c>
      <c r="B43" s="25"/>
      <c r="C43" s="14"/>
      <c r="D43" s="14"/>
      <c r="E43" s="14"/>
      <c r="F43" s="14"/>
      <c r="G43" s="14"/>
      <c r="H43" s="603"/>
      <c r="I43" s="14"/>
    </row>
    <row r="44" spans="1:9" ht="15" thickBot="1" x14ac:dyDescent="0.35">
      <c r="A44" s="245">
        <f t="shared" si="0"/>
        <v>32</v>
      </c>
      <c r="B44" s="25" t="s">
        <v>22</v>
      </c>
      <c r="C44" s="605">
        <f t="shared" ref="C44:I44" si="7">+C17-C42</f>
        <v>103864303.9900012</v>
      </c>
      <c r="D44" s="606">
        <f t="shared" si="7"/>
        <v>1665023.1002711952</v>
      </c>
      <c r="E44" s="606">
        <f t="shared" si="7"/>
        <v>105529327.09027255</v>
      </c>
      <c r="F44" s="606">
        <f t="shared" si="7"/>
        <v>-12549112.951307578</v>
      </c>
      <c r="G44" s="606">
        <f t="shared" si="7"/>
        <v>92980214.138964653</v>
      </c>
      <c r="H44" s="606">
        <f t="shared" si="7"/>
        <v>66432850.885912001</v>
      </c>
      <c r="I44" s="606">
        <f t="shared" si="7"/>
        <v>159413065.02487683</v>
      </c>
    </row>
    <row r="45" spans="1:9" ht="14.4" thickTop="1" x14ac:dyDescent="0.25">
      <c r="A45" s="245">
        <f t="shared" si="0"/>
        <v>33</v>
      </c>
    </row>
    <row r="46" spans="1:9" s="12" customFormat="1" ht="14.4" x14ac:dyDescent="0.3">
      <c r="A46" s="245">
        <f t="shared" si="0"/>
        <v>34</v>
      </c>
      <c r="B46" s="247" t="s">
        <v>23</v>
      </c>
      <c r="C46" s="11">
        <f>C57</f>
        <v>1951252143.2591095</v>
      </c>
      <c r="D46" s="246">
        <f>D57</f>
        <v>140821989.19900155</v>
      </c>
      <c r="E46" s="246">
        <f>E57</f>
        <v>2092074132.4581106</v>
      </c>
      <c r="F46" s="11">
        <f>F57</f>
        <v>50574593.038502574</v>
      </c>
      <c r="G46" s="246">
        <f>G57</f>
        <v>2142648725.4966133</v>
      </c>
      <c r="H46" s="11"/>
      <c r="I46" s="246">
        <f>I57</f>
        <v>2142648725.4966133</v>
      </c>
    </row>
    <row r="47" spans="1:9" x14ac:dyDescent="0.25">
      <c r="A47" s="245">
        <f t="shared" si="0"/>
        <v>35</v>
      </c>
      <c r="B47" s="25"/>
    </row>
    <row r="48" spans="1:9" ht="14.4" x14ac:dyDescent="0.3">
      <c r="A48" s="245">
        <f t="shared" si="0"/>
        <v>36</v>
      </c>
      <c r="B48" s="247" t="s">
        <v>24</v>
      </c>
      <c r="C48" s="611">
        <f>+C44/C46</f>
        <v>5.3229565614477801E-2</v>
      </c>
      <c r="D48" s="611"/>
      <c r="E48" s="635">
        <f>+E44/E46</f>
        <v>5.0442441523943247E-2</v>
      </c>
      <c r="F48" s="611"/>
      <c r="G48" s="635">
        <f>+G44/G46</f>
        <v>4.3394987256912182E-2</v>
      </c>
      <c r="H48" s="592"/>
      <c r="I48" s="611">
        <f>+I44/I46</f>
        <v>7.4399999929026545E-2</v>
      </c>
    </row>
    <row r="49" spans="1:9" x14ac:dyDescent="0.25">
      <c r="A49" s="245">
        <f t="shared" si="0"/>
        <v>37</v>
      </c>
      <c r="B49" s="25"/>
      <c r="C49" s="592"/>
      <c r="D49" s="592"/>
      <c r="E49" s="592"/>
      <c r="F49" s="592" t="s">
        <v>183</v>
      </c>
      <c r="G49" s="592"/>
      <c r="H49" s="592"/>
      <c r="I49" s="592"/>
    </row>
    <row r="50" spans="1:9" x14ac:dyDescent="0.25">
      <c r="A50" s="245">
        <f t="shared" si="0"/>
        <v>38</v>
      </c>
      <c r="B50" s="25" t="s">
        <v>25</v>
      </c>
      <c r="C50" s="592"/>
      <c r="D50" s="592"/>
      <c r="E50" s="592"/>
      <c r="F50" s="592"/>
      <c r="G50" s="592"/>
      <c r="H50" s="592"/>
      <c r="I50" s="592"/>
    </row>
    <row r="51" spans="1:9" ht="14.4" x14ac:dyDescent="0.3">
      <c r="A51" s="245">
        <f t="shared" si="0"/>
        <v>39</v>
      </c>
      <c r="B51" s="614" t="s">
        <v>26</v>
      </c>
      <c r="C51" s="11">
        <f>+'Detailed Summary'!C51</f>
        <v>4100600279.3772311</v>
      </c>
      <c r="D51" s="246">
        <f>+'Detailed Summary'!Y51</f>
        <v>200226769.56548771</v>
      </c>
      <c r="E51" s="246">
        <f t="shared" ref="E51:E56" si="8">SUM(C51:D51)</f>
        <v>4300827048.9427185</v>
      </c>
      <c r="F51" s="11">
        <f>+'Detailed Summary'!AV51</f>
        <v>58735318.679449119</v>
      </c>
      <c r="G51" s="246">
        <f t="shared" ref="G51:G56" si="9">SUM(E51:F51)</f>
        <v>4359562367.6221676</v>
      </c>
      <c r="H51" s="11"/>
      <c r="I51" s="246">
        <f t="shared" ref="I51:I56" si="10">SUM(G51:H51)</f>
        <v>4359562367.6221676</v>
      </c>
    </row>
    <row r="52" spans="1:9" x14ac:dyDescent="0.25">
      <c r="A52" s="245">
        <f t="shared" si="0"/>
        <v>40</v>
      </c>
      <c r="B52" s="614" t="s">
        <v>250</v>
      </c>
      <c r="C52" s="592">
        <f>+'Detailed Summary'!C52</f>
        <v>-1569795173.3202429</v>
      </c>
      <c r="D52" s="592">
        <f>+'Detailed Summary'!Y52</f>
        <v>-67842753.331441611</v>
      </c>
      <c r="E52" s="592">
        <f t="shared" si="8"/>
        <v>-1637637926.6516845</v>
      </c>
      <c r="F52" s="592">
        <f>+'Detailed Summary'!AV52</f>
        <v>-14428182.531063331</v>
      </c>
      <c r="G52" s="592">
        <f t="shared" si="9"/>
        <v>-1652066109.1827478</v>
      </c>
      <c r="H52" s="592"/>
      <c r="I52" s="592">
        <f t="shared" si="10"/>
        <v>-1652066109.1827478</v>
      </c>
    </row>
    <row r="53" spans="1:9" ht="14.4" x14ac:dyDescent="0.3">
      <c r="A53" s="245">
        <f t="shared" si="0"/>
        <v>41</v>
      </c>
      <c r="B53" s="25" t="s">
        <v>251</v>
      </c>
      <c r="C53" s="592">
        <f>+'Detailed Summary'!C53</f>
        <v>-604032300.68879509</v>
      </c>
      <c r="D53" s="597">
        <f>+'Detailed Summary'!Y53</f>
        <v>6355141.8021153035</v>
      </c>
      <c r="E53" s="597">
        <f t="shared" si="8"/>
        <v>-597677158.88667977</v>
      </c>
      <c r="F53" s="592">
        <f>+'Detailed Summary'!AV53</f>
        <v>-8139610.872081372</v>
      </c>
      <c r="G53" s="597">
        <f t="shared" si="9"/>
        <v>-605816769.75876117</v>
      </c>
      <c r="H53" s="592"/>
      <c r="I53" s="597">
        <f t="shared" si="10"/>
        <v>-605816769.75876117</v>
      </c>
    </row>
    <row r="54" spans="1:9" x14ac:dyDescent="0.25">
      <c r="A54" s="245">
        <f t="shared" si="0"/>
        <v>42</v>
      </c>
      <c r="B54" s="25" t="s">
        <v>252</v>
      </c>
      <c r="C54" s="592">
        <f>+'Detailed Summary'!C54</f>
        <v>-29952462.162250079</v>
      </c>
      <c r="D54" s="592">
        <f>+'Detailed Summary'!Y54</f>
        <v>2958805.4567250796</v>
      </c>
      <c r="E54" s="592">
        <f t="shared" si="8"/>
        <v>-26993656.705525</v>
      </c>
      <c r="F54" s="592">
        <f>+'Detailed Summary'!AV54</f>
        <v>-77023.80804395421</v>
      </c>
      <c r="G54" s="592">
        <f t="shared" si="9"/>
        <v>-27070680.513568953</v>
      </c>
      <c r="H54" s="592"/>
      <c r="I54" s="592">
        <f t="shared" si="10"/>
        <v>-27070680.513568953</v>
      </c>
    </row>
    <row r="55" spans="1:9" ht="14.4" x14ac:dyDescent="0.3">
      <c r="A55" s="245">
        <f t="shared" si="0"/>
        <v>43</v>
      </c>
      <c r="B55" s="25" t="s">
        <v>30</v>
      </c>
      <c r="C55" s="592">
        <f>+'Detailed Summary'!C55</f>
        <v>54431800.053166389</v>
      </c>
      <c r="D55" s="597">
        <f>+'Detailed Summary'!Y55</f>
        <v>-875974.29388491809</v>
      </c>
      <c r="E55" s="597">
        <f t="shared" si="8"/>
        <v>53555825.759281471</v>
      </c>
      <c r="F55" s="592">
        <f>+'Detailed Summary'!AV55</f>
        <v>0</v>
      </c>
      <c r="G55" s="597">
        <f t="shared" si="9"/>
        <v>53555825.759281471</v>
      </c>
      <c r="H55" s="592"/>
      <c r="I55" s="597">
        <f t="shared" si="10"/>
        <v>53555825.759281471</v>
      </c>
    </row>
    <row r="56" spans="1:9" x14ac:dyDescent="0.25">
      <c r="A56" s="245">
        <f t="shared" si="0"/>
        <v>44</v>
      </c>
      <c r="B56" s="25" t="s">
        <v>31</v>
      </c>
      <c r="C56" s="592">
        <f>+'Detailed Summary'!C56</f>
        <v>0</v>
      </c>
      <c r="D56" s="592">
        <f>+'Detailed Summary'!Y56</f>
        <v>0</v>
      </c>
      <c r="E56" s="592">
        <f t="shared" si="8"/>
        <v>0</v>
      </c>
      <c r="F56" s="592">
        <f>+'Detailed Summary'!AV56</f>
        <v>14484091.570242114</v>
      </c>
      <c r="G56" s="592">
        <f t="shared" si="9"/>
        <v>14484091.570242114</v>
      </c>
      <c r="H56" s="592"/>
      <c r="I56" s="592">
        <f t="shared" si="10"/>
        <v>14484091.570242114</v>
      </c>
    </row>
    <row r="57" spans="1:9" ht="15" thickBot="1" x14ac:dyDescent="0.35">
      <c r="A57" s="245">
        <f t="shared" si="0"/>
        <v>45</v>
      </c>
      <c r="B57" s="25" t="s">
        <v>32</v>
      </c>
      <c r="C57" s="15">
        <f>SUM(C51:C56)</f>
        <v>1951252143.2591095</v>
      </c>
      <c r="D57" s="636">
        <f>SUM(D51:D56)</f>
        <v>140821989.19900155</v>
      </c>
      <c r="E57" s="636">
        <f>SUM(E51:E56)</f>
        <v>2092074132.4581106</v>
      </c>
      <c r="F57" s="16">
        <f>SUM(F51:F56)</f>
        <v>50574593.038502574</v>
      </c>
      <c r="G57" s="636">
        <f>SUM(G51:G56)</f>
        <v>2142648725.4966133</v>
      </c>
      <c r="H57" s="15"/>
      <c r="I57" s="636">
        <f>SUM(I51:I56)</f>
        <v>2142648725.4966133</v>
      </c>
    </row>
    <row r="58" spans="1:9" ht="14.4" thickTop="1" x14ac:dyDescent="0.25">
      <c r="A58" s="245">
        <f t="shared" si="0"/>
        <v>46</v>
      </c>
    </row>
    <row r="59" spans="1:9" x14ac:dyDescent="0.25">
      <c r="A59" s="245">
        <f t="shared" si="0"/>
        <v>47</v>
      </c>
      <c r="B59" s="25" t="s">
        <v>155</v>
      </c>
      <c r="C59" s="24">
        <f>+'COC, Def, ConvF'!$C$13</f>
        <v>7.4399999999999994E-2</v>
      </c>
      <c r="D59" s="24">
        <f>+'COC, Def, ConvF'!$C$13</f>
        <v>7.4399999999999994E-2</v>
      </c>
      <c r="E59" s="24">
        <f>+'COC, Def, ConvF'!$C$13</f>
        <v>7.4399999999999994E-2</v>
      </c>
      <c r="F59" s="24">
        <f>+'COC, Def, ConvF'!$C$13</f>
        <v>7.4399999999999994E-2</v>
      </c>
      <c r="G59" s="24">
        <f>+'COC, Def, ConvF'!$C$13</f>
        <v>7.4399999999999994E-2</v>
      </c>
      <c r="H59" s="24">
        <f>+'COC, Def, ConvF'!$C$13</f>
        <v>7.4399999999999994E-2</v>
      </c>
      <c r="I59" s="24">
        <f>+'COC, Def, ConvF'!$C$13</f>
        <v>7.4399999999999994E-2</v>
      </c>
    </row>
    <row r="60" spans="1:9" x14ac:dyDescent="0.25">
      <c r="A60" s="245">
        <f t="shared" si="0"/>
        <v>48</v>
      </c>
      <c r="B60" s="25" t="s">
        <v>176</v>
      </c>
      <c r="C60" s="7">
        <f>+'COC, Def, ConvF'!$M$20</f>
        <v>0.75409700000000002</v>
      </c>
      <c r="D60" s="7">
        <f>+'COC, Def, ConvF'!$M$20</f>
        <v>0.75409700000000002</v>
      </c>
      <c r="E60" s="7">
        <f>+'COC, Def, ConvF'!$M$20</f>
        <v>0.75409700000000002</v>
      </c>
      <c r="F60" s="7">
        <f>+'COC, Def, ConvF'!$M$20</f>
        <v>0.75409700000000002</v>
      </c>
      <c r="G60" s="7">
        <f>+'COC, Def, ConvF'!$M$20</f>
        <v>0.75409700000000002</v>
      </c>
      <c r="H60" s="7">
        <f>+'COC, Def, ConvF'!$M$20</f>
        <v>0.75409700000000002</v>
      </c>
      <c r="I60" s="7">
        <f>+'COC, Def, ConvF'!$M$20</f>
        <v>0.75409700000000002</v>
      </c>
    </row>
    <row r="61" spans="1:9" x14ac:dyDescent="0.25">
      <c r="A61" s="245">
        <f t="shared" si="0"/>
        <v>49</v>
      </c>
      <c r="B61" s="25" t="s">
        <v>177</v>
      </c>
      <c r="C61" s="12">
        <f t="shared" ref="C61:I61" si="11">+C44-(C57*C59)</f>
        <v>-41308855.468476534</v>
      </c>
      <c r="D61" s="12">
        <f t="shared" si="11"/>
        <v>-8812132.8961345199</v>
      </c>
      <c r="E61" s="12">
        <f t="shared" si="11"/>
        <v>-50120988.364610881</v>
      </c>
      <c r="F61" s="12">
        <f t="shared" si="11"/>
        <v>-16311862.673372168</v>
      </c>
      <c r="G61" s="12">
        <f t="shared" si="11"/>
        <v>-66432851.037983358</v>
      </c>
      <c r="H61" s="12">
        <f t="shared" si="11"/>
        <v>66432850.885912001</v>
      </c>
      <c r="I61" s="12">
        <f t="shared" si="11"/>
        <v>-0.15207117795944214</v>
      </c>
    </row>
    <row r="62" spans="1:9" x14ac:dyDescent="0.25">
      <c r="A62" s="245">
        <f t="shared" si="0"/>
        <v>50</v>
      </c>
      <c r="B62" s="25" t="s">
        <v>178</v>
      </c>
      <c r="C62" s="12">
        <f t="shared" ref="C62:I62" si="12">-C61/C60</f>
        <v>54779233.266378902</v>
      </c>
      <c r="D62" s="12">
        <f t="shared" si="12"/>
        <v>11685675.577723449</v>
      </c>
      <c r="E62" s="12">
        <f t="shared" si="12"/>
        <v>66464908.844102122</v>
      </c>
      <c r="F62" s="12">
        <f t="shared" si="12"/>
        <v>21630987.357557673</v>
      </c>
      <c r="G62" s="12">
        <f t="shared" si="12"/>
        <v>88095896.201660201</v>
      </c>
      <c r="H62" s="12">
        <f t="shared" si="12"/>
        <v>-88095896</v>
      </c>
      <c r="I62" s="12">
        <f t="shared" si="12"/>
        <v>0.20165996941963982</v>
      </c>
    </row>
    <row r="63" spans="1:9" x14ac:dyDescent="0.25">
      <c r="B63" s="25"/>
    </row>
    <row r="64" spans="1:9" ht="14.4" thickBot="1" x14ac:dyDescent="0.3"/>
    <row r="65" spans="1:7" x14ac:dyDescent="0.25">
      <c r="B65" s="637" t="s">
        <v>309</v>
      </c>
      <c r="C65" s="17"/>
      <c r="D65" s="17"/>
      <c r="E65" s="638">
        <f>+C62+D62-E62</f>
        <v>2.3096799850463867E-7</v>
      </c>
      <c r="F65" s="17"/>
      <c r="G65" s="639">
        <f>+E62+F62-G62</f>
        <v>-4.0233135223388672E-7</v>
      </c>
    </row>
    <row r="66" spans="1:7" x14ac:dyDescent="0.25">
      <c r="B66" s="640" t="s">
        <v>310</v>
      </c>
      <c r="C66" s="18"/>
      <c r="D66" s="18"/>
      <c r="E66" s="18"/>
      <c r="F66" s="18"/>
      <c r="G66" s="239"/>
    </row>
    <row r="67" spans="1:7" x14ac:dyDescent="0.25">
      <c r="B67" s="640" t="s">
        <v>311</v>
      </c>
      <c r="C67" s="383">
        <f>+'Detailed Summary'!C44-C44</f>
        <v>0</v>
      </c>
      <c r="D67" s="383">
        <f>'Detailed Summary'!Y44-D44</f>
        <v>0</v>
      </c>
      <c r="E67" s="383">
        <f>'Detailed Summary'!Z44-E44</f>
        <v>0</v>
      </c>
      <c r="F67" s="383">
        <f>'Detailed Summary'!AV44-F44</f>
        <v>0</v>
      </c>
      <c r="G67" s="641">
        <f>'Detailed Summary'!AW44-G44</f>
        <v>0</v>
      </c>
    </row>
    <row r="68" spans="1:7" ht="14.4" thickBot="1" x14ac:dyDescent="0.3">
      <c r="B68" s="642" t="s">
        <v>312</v>
      </c>
      <c r="C68" s="643">
        <f>+'Detailed Summary'!C46-C46</f>
        <v>0</v>
      </c>
      <c r="D68" s="643">
        <f>'Detailed Summary'!Y46-D46</f>
        <v>0</v>
      </c>
      <c r="E68" s="643">
        <f>'Detailed Summary'!Z46-E46</f>
        <v>0</v>
      </c>
      <c r="F68" s="643">
        <f>'Detailed Summary'!AV46-F46</f>
        <v>0</v>
      </c>
      <c r="G68" s="644">
        <f>'Detailed Summary'!AW46-G46</f>
        <v>0</v>
      </c>
    </row>
    <row r="76" spans="1:7" x14ac:dyDescent="0.25">
      <c r="A76" s="7">
        <v>4</v>
      </c>
    </row>
  </sheetData>
  <printOptions horizontalCentered="1"/>
  <pageMargins left="0.2" right="0.2" top="0.25" bottom="0.25" header="0.05" footer="0.05"/>
  <pageSetup scale="62" fitToWidth="0" orientation="landscape" r:id="rId1"/>
  <headerFooter>
    <oddFooter>&amp;L&amp;"-,Bold Italic"&amp;10&amp;K0000FFAmounts in bold and italics are different from September 17, 2019 supplemental filing.</oddFooter>
  </headerFooter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1"/>
  <sheetViews>
    <sheetView zoomScale="85" zoomScaleNormal="85" workbookViewId="0">
      <pane xSplit="2" ySplit="12" topLeftCell="C55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ColWidth="9.109375" defaultRowHeight="13.8" outlineLevelCol="1" x14ac:dyDescent="0.25"/>
  <cols>
    <col min="1" max="1" width="4.5546875" style="7" customWidth="1"/>
    <col min="2" max="2" width="38.6640625" style="7" customWidth="1"/>
    <col min="3" max="3" width="17.33203125" style="7" customWidth="1"/>
    <col min="4" max="4" width="15.33203125" style="7" customWidth="1" outlineLevel="1"/>
    <col min="5" max="5" width="15.33203125" style="7" customWidth="1"/>
    <col min="6" max="6" width="15.33203125" style="7" customWidth="1" outlineLevel="1"/>
    <col min="7" max="7" width="20.6640625" style="7" bestFit="1" customWidth="1" outlineLevel="1"/>
    <col min="8" max="8" width="21.5546875" style="7" bestFit="1" customWidth="1" outlineLevel="1"/>
    <col min="9" max="24" width="15.33203125" style="7" customWidth="1" outlineLevel="1"/>
    <col min="25" max="25" width="19.109375" style="7" bestFit="1" customWidth="1"/>
    <col min="26" max="26" width="17.109375" style="7" customWidth="1"/>
    <col min="27" max="27" width="15.33203125" style="7" customWidth="1" outlineLevel="1"/>
    <col min="28" max="28" width="17.109375" style="7" customWidth="1" outlineLevel="1"/>
    <col min="29" max="35" width="15.33203125" style="7" customWidth="1" outlineLevel="1"/>
    <col min="36" max="36" width="17.44140625" style="7" customWidth="1" outlineLevel="1"/>
    <col min="37" max="41" width="15.33203125" style="7" customWidth="1" outlineLevel="1"/>
    <col min="42" max="42" width="16.88671875" style="7" customWidth="1" outlineLevel="1"/>
    <col min="43" max="47" width="15.33203125" style="7" customWidth="1" outlineLevel="1"/>
    <col min="48" max="48" width="15.33203125" style="7" customWidth="1"/>
    <col min="49" max="49" width="18.109375" style="7" bestFit="1" customWidth="1"/>
    <col min="50" max="50" width="14.88671875" style="7" bestFit="1" customWidth="1"/>
    <col min="51" max="51" width="19.109375" style="7" bestFit="1" customWidth="1"/>
    <col min="52" max="52" width="14.88671875" style="7" bestFit="1" customWidth="1"/>
    <col min="53" max="53" width="15" style="7" bestFit="1" customWidth="1"/>
    <col min="54" max="54" width="15.88671875" style="7" bestFit="1" customWidth="1"/>
    <col min="55" max="55" width="13.88671875" style="7" bestFit="1" customWidth="1"/>
    <col min="56" max="57" width="15.88671875" style="7" bestFit="1" customWidth="1"/>
    <col min="58" max="58" width="12" style="7" bestFit="1" customWidth="1"/>
    <col min="59" max="16384" width="9.109375" style="7"/>
  </cols>
  <sheetData>
    <row r="1" spans="1:49" x14ac:dyDescent="0.25">
      <c r="A1" s="33" t="s">
        <v>38</v>
      </c>
      <c r="C1" s="33"/>
      <c r="L1" s="34" t="s">
        <v>587</v>
      </c>
      <c r="M1" s="35"/>
      <c r="Y1" s="34" t="s">
        <v>588</v>
      </c>
      <c r="Z1" s="35"/>
      <c r="AA1" s="33"/>
      <c r="AB1" s="33"/>
      <c r="AC1" s="33"/>
      <c r="AD1" s="33"/>
      <c r="AE1" s="33"/>
      <c r="AH1" s="33"/>
      <c r="AI1" s="33"/>
      <c r="AJ1" s="33"/>
      <c r="AK1" s="34" t="s">
        <v>589</v>
      </c>
      <c r="AL1" s="35"/>
      <c r="AM1" s="33"/>
      <c r="AO1" s="33"/>
      <c r="AR1" s="33"/>
      <c r="AS1" s="33"/>
      <c r="AT1" s="33"/>
      <c r="AU1" s="33"/>
      <c r="AV1" s="34" t="s">
        <v>590</v>
      </c>
      <c r="AW1" s="35"/>
    </row>
    <row r="2" spans="1:49" x14ac:dyDescent="0.25">
      <c r="A2" s="33" t="s">
        <v>430</v>
      </c>
      <c r="C2" s="33"/>
      <c r="W2" s="33"/>
      <c r="X2" s="33"/>
      <c r="Z2" s="33"/>
      <c r="AA2" s="33"/>
      <c r="AB2" s="33"/>
      <c r="AC2" s="33"/>
      <c r="AD2" s="33"/>
      <c r="AE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</row>
    <row r="3" spans="1:49" x14ac:dyDescent="0.25">
      <c r="A3" s="33" t="s">
        <v>196</v>
      </c>
      <c r="C3" s="33"/>
    </row>
    <row r="4" spans="1:49" x14ac:dyDescent="0.25">
      <c r="A4" s="33" t="str">
        <f>CASE_GAS</f>
        <v>2019 GENERAL RATE CASE</v>
      </c>
      <c r="C4" s="33"/>
    </row>
    <row r="5" spans="1:49" x14ac:dyDescent="0.25">
      <c r="A5" s="33" t="str">
        <f>TESTYEAR_GAS</f>
        <v>12 MONTHS ENDED DECEMBER 31, 2018</v>
      </c>
      <c r="C5" s="33"/>
      <c r="W5" s="33"/>
      <c r="X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</row>
    <row r="6" spans="1:49" x14ac:dyDescent="0.25">
      <c r="D6" s="8" t="s">
        <v>158</v>
      </c>
      <c r="E6" s="8" t="s">
        <v>158</v>
      </c>
      <c r="F6" s="8" t="s">
        <v>158</v>
      </c>
      <c r="G6" s="8" t="s">
        <v>158</v>
      </c>
      <c r="H6" s="8" t="s">
        <v>158</v>
      </c>
      <c r="I6" s="8" t="s">
        <v>158</v>
      </c>
      <c r="J6" s="8" t="s">
        <v>158</v>
      </c>
      <c r="K6" s="8" t="s">
        <v>158</v>
      </c>
      <c r="L6" s="8" t="s">
        <v>158</v>
      </c>
      <c r="M6" s="8" t="s">
        <v>158</v>
      </c>
      <c r="N6" s="8" t="s">
        <v>158</v>
      </c>
      <c r="O6" s="8" t="s">
        <v>158</v>
      </c>
      <c r="P6" s="8" t="s">
        <v>158</v>
      </c>
      <c r="Q6" s="8" t="s">
        <v>158</v>
      </c>
      <c r="R6" s="8" t="s">
        <v>158</v>
      </c>
      <c r="S6" s="8" t="s">
        <v>158</v>
      </c>
      <c r="T6" s="8" t="s">
        <v>158</v>
      </c>
      <c r="U6" s="8" t="s">
        <v>158</v>
      </c>
      <c r="V6" s="8" t="s">
        <v>158</v>
      </c>
      <c r="W6" s="8" t="s">
        <v>158</v>
      </c>
      <c r="X6" s="8" t="s">
        <v>158</v>
      </c>
      <c r="AA6" s="8" t="s">
        <v>158</v>
      </c>
      <c r="AB6" s="8" t="s">
        <v>158</v>
      </c>
      <c r="AC6" s="8" t="s">
        <v>158</v>
      </c>
      <c r="AD6" s="8" t="s">
        <v>158</v>
      </c>
      <c r="AE6" s="8" t="s">
        <v>158</v>
      </c>
      <c r="AF6" s="8" t="s">
        <v>158</v>
      </c>
      <c r="AG6" s="8" t="s">
        <v>158</v>
      </c>
      <c r="AH6" s="8" t="s">
        <v>158</v>
      </c>
      <c r="AI6" s="8" t="s">
        <v>158</v>
      </c>
      <c r="AJ6" s="8" t="s">
        <v>158</v>
      </c>
      <c r="AK6" s="8" t="s">
        <v>158</v>
      </c>
      <c r="AL6" s="8" t="s">
        <v>158</v>
      </c>
      <c r="AM6" s="8" t="s">
        <v>158</v>
      </c>
      <c r="AN6" s="8" t="s">
        <v>158</v>
      </c>
      <c r="AO6" s="8" t="s">
        <v>158</v>
      </c>
      <c r="AP6" s="8" t="s">
        <v>158</v>
      </c>
      <c r="AQ6" s="8" t="s">
        <v>158</v>
      </c>
      <c r="AR6" s="8" t="s">
        <v>158</v>
      </c>
      <c r="AS6" s="8" t="s">
        <v>158</v>
      </c>
      <c r="AT6" s="8" t="s">
        <v>245</v>
      </c>
      <c r="AU6" s="8" t="s">
        <v>245</v>
      </c>
    </row>
    <row r="7" spans="1:49" x14ac:dyDescent="0.25">
      <c r="D7" s="8" t="s">
        <v>179</v>
      </c>
      <c r="E7" s="8" t="s">
        <v>179</v>
      </c>
      <c r="F7" s="8" t="s">
        <v>179</v>
      </c>
      <c r="G7" s="8" t="s">
        <v>179</v>
      </c>
      <c r="H7" s="8" t="s">
        <v>179</v>
      </c>
      <c r="I7" s="8" t="s">
        <v>179</v>
      </c>
      <c r="J7" s="8" t="s">
        <v>179</v>
      </c>
      <c r="K7" s="8" t="s">
        <v>179</v>
      </c>
      <c r="L7" s="8" t="s">
        <v>179</v>
      </c>
      <c r="M7" s="8" t="s">
        <v>179</v>
      </c>
      <c r="N7" s="8" t="s">
        <v>179</v>
      </c>
      <c r="O7" s="8" t="s">
        <v>179</v>
      </c>
      <c r="P7" s="8" t="s">
        <v>179</v>
      </c>
      <c r="Q7" s="8" t="s">
        <v>179</v>
      </c>
      <c r="R7" s="8" t="s">
        <v>179</v>
      </c>
      <c r="S7" s="8" t="s">
        <v>179</v>
      </c>
      <c r="T7" s="8" t="s">
        <v>179</v>
      </c>
      <c r="U7" s="8" t="s">
        <v>179</v>
      </c>
      <c r="V7" s="8" t="s">
        <v>179</v>
      </c>
      <c r="W7" s="8" t="s">
        <v>179</v>
      </c>
      <c r="X7" s="8" t="s">
        <v>179</v>
      </c>
      <c r="AA7" s="8" t="s">
        <v>78</v>
      </c>
      <c r="AB7" s="8" t="s">
        <v>78</v>
      </c>
      <c r="AC7" s="8" t="s">
        <v>78</v>
      </c>
      <c r="AD7" s="8" t="s">
        <v>78</v>
      </c>
      <c r="AE7" s="8" t="s">
        <v>78</v>
      </c>
      <c r="AF7" s="8" t="s">
        <v>78</v>
      </c>
      <c r="AG7" s="8" t="s">
        <v>78</v>
      </c>
      <c r="AH7" s="8" t="s">
        <v>78</v>
      </c>
      <c r="AI7" s="8" t="s">
        <v>78</v>
      </c>
      <c r="AJ7" s="8" t="s">
        <v>78</v>
      </c>
      <c r="AK7" s="8" t="s">
        <v>78</v>
      </c>
      <c r="AL7" s="8" t="s">
        <v>78</v>
      </c>
      <c r="AM7" s="8" t="s">
        <v>78</v>
      </c>
      <c r="AN7" s="8" t="s">
        <v>78</v>
      </c>
      <c r="AO7" s="8" t="s">
        <v>78</v>
      </c>
      <c r="AP7" s="8" t="s">
        <v>78</v>
      </c>
      <c r="AQ7" s="8" t="s">
        <v>78</v>
      </c>
      <c r="AR7" s="8" t="s">
        <v>78</v>
      </c>
      <c r="AS7" s="8" t="s">
        <v>78</v>
      </c>
      <c r="AT7" s="8" t="s">
        <v>78</v>
      </c>
      <c r="AU7" s="8" t="s">
        <v>78</v>
      </c>
    </row>
    <row r="8" spans="1:49" x14ac:dyDescent="0.25">
      <c r="L8" s="7" t="s">
        <v>271</v>
      </c>
      <c r="M8" s="7" t="s">
        <v>271</v>
      </c>
      <c r="AD8" s="7" t="s">
        <v>271</v>
      </c>
      <c r="AE8" s="7" t="s">
        <v>271</v>
      </c>
    </row>
    <row r="9" spans="1:49" ht="15" customHeight="1" x14ac:dyDescent="0.25">
      <c r="C9" s="580" t="s">
        <v>33</v>
      </c>
      <c r="D9" s="581">
        <v>20.010000000000002</v>
      </c>
      <c r="E9" s="581">
        <f>+D9+0.01</f>
        <v>20.020000000000003</v>
      </c>
      <c r="F9" s="581">
        <f>+E9+0.01</f>
        <v>20.030000000000005</v>
      </c>
      <c r="G9" s="581">
        <f t="shared" ref="G9:P9" si="0">+F9+0.01</f>
        <v>20.040000000000006</v>
      </c>
      <c r="H9" s="581">
        <f t="shared" si="0"/>
        <v>20.050000000000008</v>
      </c>
      <c r="I9" s="581">
        <f t="shared" si="0"/>
        <v>20.060000000000009</v>
      </c>
      <c r="J9" s="581">
        <f t="shared" si="0"/>
        <v>20.070000000000011</v>
      </c>
      <c r="K9" s="581">
        <f t="shared" si="0"/>
        <v>20.080000000000013</v>
      </c>
      <c r="L9" s="581">
        <f t="shared" si="0"/>
        <v>20.090000000000014</v>
      </c>
      <c r="M9" s="581">
        <f t="shared" si="0"/>
        <v>20.100000000000016</v>
      </c>
      <c r="N9" s="581">
        <f t="shared" si="0"/>
        <v>20.110000000000017</v>
      </c>
      <c r="O9" s="581">
        <f t="shared" si="0"/>
        <v>20.120000000000019</v>
      </c>
      <c r="P9" s="581">
        <f t="shared" si="0"/>
        <v>20.13000000000002</v>
      </c>
      <c r="Q9" s="581">
        <v>20.14</v>
      </c>
      <c r="R9" s="581">
        <v>20.149999999999999</v>
      </c>
      <c r="S9" s="581">
        <v>20.16</v>
      </c>
      <c r="T9" s="581">
        <v>20.170000000000002</v>
      </c>
      <c r="U9" s="581">
        <v>20.18</v>
      </c>
      <c r="V9" s="581">
        <v>20.190000000000001</v>
      </c>
      <c r="W9" s="581">
        <v>20.23</v>
      </c>
      <c r="X9" s="581">
        <v>20.3</v>
      </c>
      <c r="Y9" s="582" t="s">
        <v>54</v>
      </c>
      <c r="Z9" s="582" t="s">
        <v>82</v>
      </c>
      <c r="AA9" s="583">
        <f>+D9</f>
        <v>20.010000000000002</v>
      </c>
      <c r="AB9" s="583">
        <f>+E9</f>
        <v>20.020000000000003</v>
      </c>
      <c r="AC9" s="583">
        <f>+G9</f>
        <v>20.040000000000006</v>
      </c>
      <c r="AD9" s="583">
        <f>+L9</f>
        <v>20.090000000000014</v>
      </c>
      <c r="AE9" s="583">
        <f>+M9</f>
        <v>20.100000000000016</v>
      </c>
      <c r="AF9" s="583">
        <v>20.14</v>
      </c>
      <c r="AG9" s="583">
        <f>+AF9+0.01</f>
        <v>20.150000000000002</v>
      </c>
      <c r="AH9" s="583">
        <f>+AG9+0.01</f>
        <v>20.160000000000004</v>
      </c>
      <c r="AI9" s="583">
        <f>+AH9+0.01</f>
        <v>20.170000000000005</v>
      </c>
      <c r="AJ9" s="583">
        <v>20.2</v>
      </c>
      <c r="AK9" s="583">
        <f>+AJ9+0.01</f>
        <v>20.21</v>
      </c>
      <c r="AL9" s="583">
        <f t="shared" ref="AL9:AS9" si="1">+AK9+0.01</f>
        <v>20.220000000000002</v>
      </c>
      <c r="AM9" s="583">
        <f t="shared" si="1"/>
        <v>20.230000000000004</v>
      </c>
      <c r="AN9" s="583">
        <f t="shared" si="1"/>
        <v>20.240000000000006</v>
      </c>
      <c r="AO9" s="583">
        <f t="shared" si="1"/>
        <v>20.250000000000007</v>
      </c>
      <c r="AP9" s="583">
        <f t="shared" si="1"/>
        <v>20.260000000000009</v>
      </c>
      <c r="AQ9" s="583">
        <f t="shared" si="1"/>
        <v>20.27000000000001</v>
      </c>
      <c r="AR9" s="583">
        <f t="shared" si="1"/>
        <v>20.280000000000012</v>
      </c>
      <c r="AS9" s="583">
        <f t="shared" si="1"/>
        <v>20.290000000000013</v>
      </c>
      <c r="AT9" s="583" t="s">
        <v>423</v>
      </c>
      <c r="AU9" s="583" t="s">
        <v>425</v>
      </c>
      <c r="AV9" s="582" t="s">
        <v>54</v>
      </c>
      <c r="AW9" s="582" t="s">
        <v>181</v>
      </c>
    </row>
    <row r="10" spans="1:49" ht="15" customHeight="1" x14ac:dyDescent="0.25">
      <c r="A10" s="580" t="s">
        <v>36</v>
      </c>
      <c r="B10" s="580" t="s">
        <v>60</v>
      </c>
      <c r="C10" s="580" t="s">
        <v>34</v>
      </c>
      <c r="D10" s="580" t="s">
        <v>39</v>
      </c>
      <c r="E10" s="580" t="s">
        <v>216</v>
      </c>
      <c r="F10" s="580" t="s">
        <v>40</v>
      </c>
      <c r="G10" s="580" t="s">
        <v>217</v>
      </c>
      <c r="H10" s="580" t="s">
        <v>218</v>
      </c>
      <c r="I10" s="580" t="s">
        <v>219</v>
      </c>
      <c r="J10" s="584" t="s">
        <v>220</v>
      </c>
      <c r="K10" s="580" t="s">
        <v>221</v>
      </c>
      <c r="L10" s="580" t="s">
        <v>222</v>
      </c>
      <c r="M10" s="580" t="s">
        <v>44</v>
      </c>
      <c r="N10" s="580" t="s">
        <v>456</v>
      </c>
      <c r="O10" s="580" t="s">
        <v>223</v>
      </c>
      <c r="P10" s="580" t="s">
        <v>224</v>
      </c>
      <c r="Q10" s="580" t="s">
        <v>292</v>
      </c>
      <c r="R10" s="580" t="s">
        <v>303</v>
      </c>
      <c r="S10" s="580" t="s">
        <v>47</v>
      </c>
      <c r="T10" s="580" t="s">
        <v>291</v>
      </c>
      <c r="U10" s="240" t="s">
        <v>225</v>
      </c>
      <c r="V10" s="580" t="s">
        <v>225</v>
      </c>
      <c r="W10" s="580" t="s">
        <v>226</v>
      </c>
      <c r="X10" s="240" t="s">
        <v>584</v>
      </c>
      <c r="Y10" s="585" t="s">
        <v>179</v>
      </c>
      <c r="Z10" s="585" t="s">
        <v>34</v>
      </c>
      <c r="AA10" s="580" t="s">
        <v>39</v>
      </c>
      <c r="AB10" s="580" t="s">
        <v>216</v>
      </c>
      <c r="AC10" s="580" t="s">
        <v>459</v>
      </c>
      <c r="AD10" s="580" t="s">
        <v>222</v>
      </c>
      <c r="AE10" s="580" t="s">
        <v>44</v>
      </c>
      <c r="AF10" s="580" t="s">
        <v>45</v>
      </c>
      <c r="AG10" s="580" t="s">
        <v>46</v>
      </c>
      <c r="AH10" s="580" t="s">
        <v>47</v>
      </c>
      <c r="AI10" s="580" t="s">
        <v>48</v>
      </c>
      <c r="AJ10" s="580" t="s">
        <v>460</v>
      </c>
      <c r="AK10" s="580" t="s">
        <v>238</v>
      </c>
      <c r="AL10" s="240"/>
      <c r="AM10" s="580" t="s">
        <v>226</v>
      </c>
      <c r="AN10" s="580"/>
      <c r="AO10" s="580" t="s">
        <v>227</v>
      </c>
      <c r="AP10" s="580" t="s">
        <v>316</v>
      </c>
      <c r="AQ10" s="580" t="s">
        <v>318</v>
      </c>
      <c r="AR10" s="580" t="s">
        <v>349</v>
      </c>
      <c r="AS10" s="580"/>
      <c r="AT10" s="580" t="s">
        <v>421</v>
      </c>
      <c r="AU10" s="580" t="s">
        <v>424</v>
      </c>
      <c r="AV10" s="585" t="s">
        <v>180</v>
      </c>
      <c r="AW10" s="585" t="s">
        <v>34</v>
      </c>
    </row>
    <row r="11" spans="1:49" ht="15" customHeight="1" x14ac:dyDescent="0.25">
      <c r="A11" s="580" t="s">
        <v>37</v>
      </c>
      <c r="C11" s="580" t="s">
        <v>35</v>
      </c>
      <c r="D11" s="580" t="s">
        <v>42</v>
      </c>
      <c r="E11" s="580" t="s">
        <v>228</v>
      </c>
      <c r="F11" s="586" t="s">
        <v>43</v>
      </c>
      <c r="G11" s="586" t="s">
        <v>239</v>
      </c>
      <c r="H11" s="580" t="s">
        <v>229</v>
      </c>
      <c r="I11" s="580" t="s">
        <v>230</v>
      </c>
      <c r="J11" s="584" t="s">
        <v>231</v>
      </c>
      <c r="K11" s="580" t="s">
        <v>232</v>
      </c>
      <c r="L11" s="586" t="s">
        <v>233</v>
      </c>
      <c r="M11" s="586" t="s">
        <v>49</v>
      </c>
      <c r="N11" s="586" t="s">
        <v>457</v>
      </c>
      <c r="O11" s="580" t="s">
        <v>234</v>
      </c>
      <c r="P11" s="580" t="s">
        <v>52</v>
      </c>
      <c r="Q11" s="580" t="s">
        <v>293</v>
      </c>
      <c r="R11" s="580" t="s">
        <v>302</v>
      </c>
      <c r="S11" s="580" t="s">
        <v>52</v>
      </c>
      <c r="T11" s="580" t="s">
        <v>49</v>
      </c>
      <c r="U11" s="240" t="s">
        <v>61</v>
      </c>
      <c r="V11" s="580" t="s">
        <v>13</v>
      </c>
      <c r="W11" s="580" t="s">
        <v>235</v>
      </c>
      <c r="X11" s="240" t="s">
        <v>585</v>
      </c>
      <c r="Y11" s="585" t="s">
        <v>57</v>
      </c>
      <c r="Z11" s="585" t="s">
        <v>59</v>
      </c>
      <c r="AA11" s="580" t="s">
        <v>42</v>
      </c>
      <c r="AB11" s="580" t="s">
        <v>228</v>
      </c>
      <c r="AC11" s="586" t="s">
        <v>458</v>
      </c>
      <c r="AD11" s="586" t="s">
        <v>233</v>
      </c>
      <c r="AE11" s="586" t="s">
        <v>49</v>
      </c>
      <c r="AF11" s="587" t="s">
        <v>51</v>
      </c>
      <c r="AG11" s="580" t="s">
        <v>53</v>
      </c>
      <c r="AH11" s="580" t="s">
        <v>52</v>
      </c>
      <c r="AI11" s="580" t="s">
        <v>49</v>
      </c>
      <c r="AJ11" s="580" t="s">
        <v>50</v>
      </c>
      <c r="AK11" s="580" t="s">
        <v>159</v>
      </c>
      <c r="AL11" s="580" t="s">
        <v>185</v>
      </c>
      <c r="AM11" s="580" t="s">
        <v>235</v>
      </c>
      <c r="AN11" s="580" t="s">
        <v>273</v>
      </c>
      <c r="AO11" s="580" t="s">
        <v>236</v>
      </c>
      <c r="AP11" s="580" t="s">
        <v>317</v>
      </c>
      <c r="AQ11" s="580" t="s">
        <v>319</v>
      </c>
      <c r="AR11" s="580" t="s">
        <v>350</v>
      </c>
      <c r="AS11" s="580" t="s">
        <v>400</v>
      </c>
      <c r="AT11" s="580" t="s">
        <v>422</v>
      </c>
      <c r="AU11" s="580" t="s">
        <v>272</v>
      </c>
      <c r="AV11" s="585" t="s">
        <v>57</v>
      </c>
      <c r="AW11" s="585" t="s">
        <v>59</v>
      </c>
    </row>
    <row r="12" spans="1:49" x14ac:dyDescent="0.25">
      <c r="C12" s="245" t="s">
        <v>197</v>
      </c>
      <c r="D12" s="8" t="s">
        <v>198</v>
      </c>
      <c r="E12" s="8" t="s">
        <v>468</v>
      </c>
      <c r="F12" s="8" t="s">
        <v>199</v>
      </c>
      <c r="G12" s="8" t="s">
        <v>200</v>
      </c>
      <c r="H12" s="8" t="s">
        <v>201</v>
      </c>
      <c r="I12" s="8" t="s">
        <v>202</v>
      </c>
      <c r="J12" s="8" t="s">
        <v>203</v>
      </c>
      <c r="K12" s="8" t="s">
        <v>204</v>
      </c>
      <c r="L12" s="8" t="s">
        <v>205</v>
      </c>
      <c r="M12" s="8" t="s">
        <v>206</v>
      </c>
      <c r="N12" s="8" t="s">
        <v>207</v>
      </c>
      <c r="O12" s="8" t="s">
        <v>208</v>
      </c>
      <c r="P12" s="8" t="s">
        <v>209</v>
      </c>
      <c r="Q12" s="8" t="s">
        <v>320</v>
      </c>
      <c r="R12" s="8" t="s">
        <v>321</v>
      </c>
      <c r="S12" s="8" t="s">
        <v>322</v>
      </c>
      <c r="T12" s="8" t="s">
        <v>323</v>
      </c>
      <c r="U12" s="8" t="s">
        <v>324</v>
      </c>
      <c r="V12" s="8" t="s">
        <v>325</v>
      </c>
      <c r="W12" s="8" t="s">
        <v>438</v>
      </c>
      <c r="X12" s="8"/>
      <c r="Y12" s="36" t="s">
        <v>439</v>
      </c>
      <c r="Z12" s="36" t="s">
        <v>440</v>
      </c>
      <c r="AA12" s="8" t="s">
        <v>210</v>
      </c>
      <c r="AB12" s="8" t="s">
        <v>211</v>
      </c>
      <c r="AC12" s="8" t="s">
        <v>212</v>
      </c>
      <c r="AD12" s="8" t="s">
        <v>326</v>
      </c>
      <c r="AE12" s="8" t="s">
        <v>327</v>
      </c>
      <c r="AF12" s="8" t="s">
        <v>328</v>
      </c>
      <c r="AG12" s="8" t="s">
        <v>329</v>
      </c>
      <c r="AH12" s="8" t="s">
        <v>330</v>
      </c>
      <c r="AI12" s="8" t="s">
        <v>331</v>
      </c>
      <c r="AJ12" s="8" t="s">
        <v>332</v>
      </c>
      <c r="AK12" s="8" t="s">
        <v>334</v>
      </c>
      <c r="AL12" s="8" t="s">
        <v>335</v>
      </c>
      <c r="AM12" s="8" t="s">
        <v>333</v>
      </c>
      <c r="AN12" s="8" t="s">
        <v>336</v>
      </c>
      <c r="AO12" s="8" t="s">
        <v>337</v>
      </c>
      <c r="AP12" s="8" t="s">
        <v>213</v>
      </c>
      <c r="AQ12" s="8" t="s">
        <v>441</v>
      </c>
      <c r="AR12" s="8" t="s">
        <v>214</v>
      </c>
      <c r="AS12" s="8" t="s">
        <v>215</v>
      </c>
      <c r="AT12" s="8" t="s">
        <v>469</v>
      </c>
      <c r="AU12" s="8" t="s">
        <v>442</v>
      </c>
      <c r="AV12" s="36" t="s">
        <v>470</v>
      </c>
      <c r="AW12" s="36" t="s">
        <v>485</v>
      </c>
    </row>
    <row r="13" spans="1:49" x14ac:dyDescent="0.25">
      <c r="A13" s="245">
        <v>1</v>
      </c>
      <c r="B13" s="247" t="s">
        <v>0</v>
      </c>
      <c r="Y13" s="37"/>
      <c r="Z13" s="37"/>
      <c r="AU13" s="11"/>
      <c r="AV13" s="37"/>
      <c r="AW13" s="37"/>
    </row>
    <row r="14" spans="1:49" ht="14.4" x14ac:dyDescent="0.3">
      <c r="A14" s="245">
        <f t="shared" ref="A14:A45" si="2">A13+1</f>
        <v>2</v>
      </c>
      <c r="B14" s="247" t="s">
        <v>1</v>
      </c>
      <c r="C14" s="588">
        <v>876657675.66999984</v>
      </c>
      <c r="D14" s="589">
        <f>+'Common Adj'!F20</f>
        <v>-45678173.786802821</v>
      </c>
      <c r="E14" s="588">
        <f>'Common Adj'!N19</f>
        <v>71805.349049671087</v>
      </c>
      <c r="F14" s="588"/>
      <c r="G14" s="588"/>
      <c r="H14" s="588">
        <f>SUM('Common Adj'!AL14:AL18,'Common Adj'!AL20,'Common Adj'!AL22)</f>
        <v>-105836055.77958143</v>
      </c>
      <c r="I14" s="588"/>
      <c r="J14" s="588"/>
      <c r="K14" s="588"/>
      <c r="L14" s="588"/>
      <c r="M14" s="588"/>
      <c r="N14" s="588"/>
      <c r="O14" s="588"/>
      <c r="P14" s="588"/>
      <c r="Q14" s="588"/>
      <c r="R14" s="588"/>
      <c r="S14" s="588"/>
      <c r="T14" s="588"/>
      <c r="U14" s="588"/>
      <c r="V14" s="588"/>
      <c r="W14" s="588"/>
      <c r="X14" s="588"/>
      <c r="Y14" s="590">
        <f>SUM(D14:X14)</f>
        <v>-151442424.21733457</v>
      </c>
      <c r="Z14" s="590">
        <f>+Y14+C14</f>
        <v>725215251.45266533</v>
      </c>
      <c r="AA14" s="588">
        <f>'Common Adj'!H20</f>
        <v>50971.28</v>
      </c>
      <c r="AB14" s="588">
        <f>+'Common Adj'!P19</f>
        <v>32516222.896106277</v>
      </c>
      <c r="AC14" s="588"/>
      <c r="AD14" s="588"/>
      <c r="AE14" s="588"/>
      <c r="AF14" s="588"/>
      <c r="AG14" s="588"/>
      <c r="AH14" s="588"/>
      <c r="AI14" s="588"/>
      <c r="AJ14" s="588"/>
      <c r="AK14" s="588"/>
      <c r="AL14" s="588"/>
      <c r="AM14" s="588"/>
      <c r="AN14" s="588"/>
      <c r="AO14" s="588"/>
      <c r="AP14" s="588"/>
      <c r="AQ14" s="588"/>
      <c r="AR14" s="588"/>
      <c r="AS14" s="588"/>
      <c r="AT14" s="588"/>
      <c r="AU14" s="588">
        <f>'Gas Adj'!Q15</f>
        <v>-6980521.1700718822</v>
      </c>
      <c r="AV14" s="591">
        <f>SUM(AA14:AU14)</f>
        <v>25586673.006034397</v>
      </c>
      <c r="AW14" s="590">
        <f>+AV14+Z14</f>
        <v>750801924.4586997</v>
      </c>
    </row>
    <row r="15" spans="1:49" x14ac:dyDescent="0.25">
      <c r="A15" s="245">
        <f t="shared" si="2"/>
        <v>3</v>
      </c>
      <c r="B15" s="247" t="s">
        <v>246</v>
      </c>
      <c r="C15" s="592"/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  <c r="W15" s="592"/>
      <c r="X15" s="592"/>
      <c r="Y15" s="593">
        <f>SUM(D15:X15)</f>
        <v>0</v>
      </c>
      <c r="Z15" s="593">
        <f>+Y15+C15</f>
        <v>0</v>
      </c>
      <c r="AA15" s="592"/>
      <c r="AB15" s="592"/>
      <c r="AC15" s="592"/>
      <c r="AD15" s="592"/>
      <c r="AE15" s="592"/>
      <c r="AF15" s="592"/>
      <c r="AG15" s="592"/>
      <c r="AH15" s="592"/>
      <c r="AI15" s="592"/>
      <c r="AJ15" s="592"/>
      <c r="AK15" s="592"/>
      <c r="AL15" s="592"/>
      <c r="AM15" s="592"/>
      <c r="AN15" s="592"/>
      <c r="AO15" s="592"/>
      <c r="AP15" s="592"/>
      <c r="AQ15" s="592"/>
      <c r="AR15" s="592"/>
      <c r="AS15" s="592"/>
      <c r="AT15" s="592"/>
      <c r="AU15" s="592"/>
      <c r="AV15" s="593">
        <f>SUM(AA15:AU15)</f>
        <v>0</v>
      </c>
      <c r="AW15" s="593">
        <f>+AV15+Z15</f>
        <v>0</v>
      </c>
    </row>
    <row r="16" spans="1:49" x14ac:dyDescent="0.25">
      <c r="A16" s="245">
        <f t="shared" si="2"/>
        <v>4</v>
      </c>
      <c r="B16" s="247" t="s">
        <v>2</v>
      </c>
      <c r="C16" s="592">
        <v>-25909998.579999998</v>
      </c>
      <c r="D16" s="592">
        <f>+'Common Adj'!F29</f>
        <v>2691478.5600000005</v>
      </c>
      <c r="E16" s="592"/>
      <c r="F16" s="592"/>
      <c r="G16" s="592"/>
      <c r="H16" s="592">
        <f>SUM('Common Adj'!AL19,'Common Adj'!AL21,'Common Adj'!AL23:AL24)</f>
        <v>43423782.999999993</v>
      </c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  <c r="W16" s="592"/>
      <c r="X16" s="592"/>
      <c r="Y16" s="593">
        <f>SUM(D16:X16)</f>
        <v>46115261.559999995</v>
      </c>
      <c r="Z16" s="593">
        <f>+Y16+C16</f>
        <v>20205262.979999997</v>
      </c>
      <c r="AA16" s="592">
        <f>+'Common Adj'!H29</f>
        <v>-9854969.0099999998</v>
      </c>
      <c r="AB16" s="592"/>
      <c r="AC16" s="592"/>
      <c r="AD16" s="592"/>
      <c r="AE16" s="592"/>
      <c r="AF16" s="592"/>
      <c r="AG16" s="592"/>
      <c r="AH16" s="592"/>
      <c r="AI16" s="592"/>
      <c r="AJ16" s="592"/>
      <c r="AK16" s="592"/>
      <c r="AL16" s="592"/>
      <c r="AM16" s="592"/>
      <c r="AN16" s="592"/>
      <c r="AO16" s="592"/>
      <c r="AP16" s="592"/>
      <c r="AQ16" s="592"/>
      <c r="AR16" s="592"/>
      <c r="AS16" s="592"/>
      <c r="AT16" s="592"/>
      <c r="AU16" s="592"/>
      <c r="AV16" s="593">
        <f>SUM(AA16:AU16)</f>
        <v>-9854969.0099999998</v>
      </c>
      <c r="AW16" s="593">
        <f>+AV16+Z16</f>
        <v>10350293.969999997</v>
      </c>
    </row>
    <row r="17" spans="1:58" ht="14.4" x14ac:dyDescent="0.3">
      <c r="A17" s="245">
        <f t="shared" si="2"/>
        <v>5</v>
      </c>
      <c r="B17" s="247" t="s">
        <v>3</v>
      </c>
      <c r="C17" s="10">
        <f t="shared" ref="C17:AD17" si="3">SUM(C14:C16)</f>
        <v>850747677.08999979</v>
      </c>
      <c r="D17" s="594">
        <f t="shared" si="3"/>
        <v>-42986695.226802818</v>
      </c>
      <c r="E17" s="10">
        <f>SUM(E14:E16)</f>
        <v>71805.349049671087</v>
      </c>
      <c r="F17" s="10">
        <f t="shared" si="3"/>
        <v>0</v>
      </c>
      <c r="G17" s="10">
        <f t="shared" si="3"/>
        <v>0</v>
      </c>
      <c r="H17" s="10">
        <f t="shared" si="3"/>
        <v>-62412272.779581435</v>
      </c>
      <c r="I17" s="10">
        <f t="shared" si="3"/>
        <v>0</v>
      </c>
      <c r="J17" s="10">
        <f t="shared" si="3"/>
        <v>0</v>
      </c>
      <c r="K17" s="10">
        <f t="shared" si="3"/>
        <v>0</v>
      </c>
      <c r="L17" s="10">
        <f t="shared" si="3"/>
        <v>0</v>
      </c>
      <c r="M17" s="10">
        <f t="shared" si="3"/>
        <v>0</v>
      </c>
      <c r="N17" s="10">
        <f t="shared" si="3"/>
        <v>0</v>
      </c>
      <c r="O17" s="10">
        <f t="shared" si="3"/>
        <v>0</v>
      </c>
      <c r="P17" s="10">
        <f t="shared" si="3"/>
        <v>0</v>
      </c>
      <c r="Q17" s="10">
        <f t="shared" si="3"/>
        <v>0</v>
      </c>
      <c r="R17" s="10">
        <f t="shared" si="3"/>
        <v>0</v>
      </c>
      <c r="S17" s="10">
        <f t="shared" si="3"/>
        <v>0</v>
      </c>
      <c r="T17" s="10">
        <f t="shared" si="3"/>
        <v>0</v>
      </c>
      <c r="U17" s="10">
        <f t="shared" si="3"/>
        <v>0</v>
      </c>
      <c r="V17" s="10">
        <f t="shared" si="3"/>
        <v>0</v>
      </c>
      <c r="W17" s="10">
        <f t="shared" si="3"/>
        <v>0</v>
      </c>
      <c r="X17" s="10">
        <f t="shared" si="3"/>
        <v>0</v>
      </c>
      <c r="Y17" s="595">
        <f t="shared" si="3"/>
        <v>-105327162.65733457</v>
      </c>
      <c r="Z17" s="595">
        <f t="shared" si="3"/>
        <v>745420514.43266535</v>
      </c>
      <c r="AA17" s="10">
        <f t="shared" ref="AA17" si="4">SUM(AA14:AA16)</f>
        <v>-9803997.7300000004</v>
      </c>
      <c r="AB17" s="10">
        <f>SUM(AB14:AB16)</f>
        <v>32516222.896106277</v>
      </c>
      <c r="AC17" s="10">
        <f t="shared" si="3"/>
        <v>0</v>
      </c>
      <c r="AD17" s="10">
        <f t="shared" si="3"/>
        <v>0</v>
      </c>
      <c r="AE17" s="10">
        <f t="shared" ref="AE17:AW17" si="5">SUM(AE14:AE16)</f>
        <v>0</v>
      </c>
      <c r="AF17" s="10">
        <f t="shared" si="5"/>
        <v>0</v>
      </c>
      <c r="AG17" s="10">
        <f t="shared" si="5"/>
        <v>0</v>
      </c>
      <c r="AH17" s="10">
        <f t="shared" si="5"/>
        <v>0</v>
      </c>
      <c r="AI17" s="10">
        <f t="shared" si="5"/>
        <v>0</v>
      </c>
      <c r="AJ17" s="10">
        <f>SUM(AJ14:AJ16)</f>
        <v>0</v>
      </c>
      <c r="AK17" s="10">
        <f t="shared" si="5"/>
        <v>0</v>
      </c>
      <c r="AL17" s="10">
        <f t="shared" si="5"/>
        <v>0</v>
      </c>
      <c r="AM17" s="10">
        <f t="shared" si="5"/>
        <v>0</v>
      </c>
      <c r="AN17" s="10">
        <f t="shared" si="5"/>
        <v>0</v>
      </c>
      <c r="AO17" s="10">
        <f t="shared" si="5"/>
        <v>0</v>
      </c>
      <c r="AP17" s="10">
        <f t="shared" si="5"/>
        <v>0</v>
      </c>
      <c r="AQ17" s="10">
        <f t="shared" si="5"/>
        <v>0</v>
      </c>
      <c r="AR17" s="10">
        <f t="shared" si="5"/>
        <v>0</v>
      </c>
      <c r="AS17" s="10">
        <f t="shared" ref="AS17:AT17" si="6">SUM(AS14:AS16)</f>
        <v>0</v>
      </c>
      <c r="AT17" s="10">
        <f t="shared" si="6"/>
        <v>0</v>
      </c>
      <c r="AU17" s="10">
        <f t="shared" si="5"/>
        <v>-6980521.1700718822</v>
      </c>
      <c r="AV17" s="39">
        <f t="shared" si="5"/>
        <v>15731703.996034397</v>
      </c>
      <c r="AW17" s="595">
        <f t="shared" si="5"/>
        <v>761152218.42869973</v>
      </c>
    </row>
    <row r="18" spans="1:58" s="40" customFormat="1" x14ac:dyDescent="0.25">
      <c r="A18" s="245">
        <f t="shared" si="2"/>
        <v>6</v>
      </c>
      <c r="B18" s="596"/>
      <c r="C18" s="592"/>
      <c r="D18" s="592"/>
      <c r="E18" s="592"/>
      <c r="F18" s="592"/>
      <c r="G18" s="592"/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593"/>
      <c r="Z18" s="593"/>
      <c r="AA18" s="592"/>
      <c r="AB18" s="592"/>
      <c r="AC18" s="592"/>
      <c r="AD18" s="592"/>
      <c r="AE18" s="592"/>
      <c r="AF18" s="592"/>
      <c r="AG18" s="592"/>
      <c r="AH18" s="592"/>
      <c r="AI18" s="592"/>
      <c r="AJ18" s="592"/>
      <c r="AK18" s="592"/>
      <c r="AL18" s="592"/>
      <c r="AM18" s="592"/>
      <c r="AN18" s="592"/>
      <c r="AO18" s="592"/>
      <c r="AP18" s="592"/>
      <c r="AQ18" s="592"/>
      <c r="AR18" s="592"/>
      <c r="AS18" s="592"/>
      <c r="AT18" s="592"/>
      <c r="AU18" s="592"/>
      <c r="AV18" s="593"/>
      <c r="AW18" s="593"/>
      <c r="AX18" s="7"/>
      <c r="AY18" s="7"/>
      <c r="AZ18" s="7"/>
      <c r="BA18" s="7"/>
      <c r="BB18" s="7"/>
      <c r="BC18" s="7"/>
      <c r="BD18" s="7"/>
      <c r="BE18" s="7"/>
      <c r="BF18" s="7"/>
    </row>
    <row r="19" spans="1:58" x14ac:dyDescent="0.25">
      <c r="A19" s="245">
        <f t="shared" si="2"/>
        <v>7</v>
      </c>
      <c r="B19" s="247" t="s">
        <v>4</v>
      </c>
      <c r="Y19" s="37"/>
      <c r="Z19" s="37"/>
      <c r="AV19" s="37"/>
      <c r="AW19" s="37"/>
    </row>
    <row r="20" spans="1:58" x14ac:dyDescent="0.25">
      <c r="A20" s="245">
        <f t="shared" si="2"/>
        <v>8</v>
      </c>
      <c r="B20" s="25"/>
      <c r="Y20" s="37"/>
      <c r="Z20" s="37"/>
      <c r="AV20" s="37"/>
      <c r="AW20" s="37"/>
    </row>
    <row r="21" spans="1:58" x14ac:dyDescent="0.25">
      <c r="A21" s="245">
        <f t="shared" si="2"/>
        <v>9</v>
      </c>
      <c r="B21" s="247" t="s">
        <v>247</v>
      </c>
      <c r="C21" s="588"/>
      <c r="Y21" s="37"/>
      <c r="Z21" s="37"/>
      <c r="AV21" s="37"/>
      <c r="AW21" s="37"/>
    </row>
    <row r="22" spans="1:58" x14ac:dyDescent="0.25">
      <c r="A22" s="245">
        <f t="shared" si="2"/>
        <v>10</v>
      </c>
      <c r="B22" s="247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38">
        <f>SUM(D22:X22)</f>
        <v>0</v>
      </c>
      <c r="Z22" s="38">
        <f>+Y22+C22</f>
        <v>0</v>
      </c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38">
        <f>SUM(AA22:AU22)</f>
        <v>0</v>
      </c>
      <c r="AW22" s="38">
        <f>+AV22+Z22</f>
        <v>0</v>
      </c>
    </row>
    <row r="23" spans="1:58" ht="14.4" x14ac:dyDescent="0.3">
      <c r="A23" s="245">
        <f t="shared" si="2"/>
        <v>11</v>
      </c>
      <c r="B23" s="247" t="s">
        <v>248</v>
      </c>
      <c r="C23" s="11">
        <v>296699052.05999887</v>
      </c>
      <c r="D23" s="597">
        <f>+'Common Adj'!F36</f>
        <v>-42859497.28055793</v>
      </c>
      <c r="E23" s="592"/>
      <c r="F23" s="592"/>
      <c r="G23" s="592"/>
      <c r="H23" s="592">
        <f>'Common Adj'!AL37+'Common Adj'!AL38</f>
        <v>23490295.960000001</v>
      </c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  <c r="W23" s="592"/>
      <c r="X23" s="592"/>
      <c r="Y23" s="598">
        <f>SUM(D23:X23)</f>
        <v>-19369201.32055793</v>
      </c>
      <c r="Z23" s="598">
        <f>+Y23+C23</f>
        <v>277329850.73944092</v>
      </c>
      <c r="AA23" s="592"/>
      <c r="AB23" s="592">
        <f>+'Common Adj'!P21</f>
        <v>15518806.039205611</v>
      </c>
      <c r="AC23" s="592"/>
      <c r="AD23" s="592"/>
      <c r="AE23" s="592"/>
      <c r="AF23" s="592"/>
      <c r="AG23" s="592"/>
      <c r="AH23" s="592"/>
      <c r="AI23" s="592"/>
      <c r="AJ23" s="592"/>
      <c r="AK23" s="592"/>
      <c r="AL23" s="592"/>
      <c r="AM23" s="592"/>
      <c r="AN23" s="592"/>
      <c r="AO23" s="592"/>
      <c r="AP23" s="592"/>
      <c r="AQ23" s="592"/>
      <c r="AR23" s="592"/>
      <c r="AS23" s="592"/>
      <c r="AT23" s="592"/>
      <c r="AU23" s="592"/>
      <c r="AV23" s="593">
        <f>SUM(AA23:AU23)</f>
        <v>15518806.039205611</v>
      </c>
      <c r="AW23" s="598">
        <f>+AV23+Z23</f>
        <v>292848656.77864653</v>
      </c>
    </row>
    <row r="24" spans="1:58" ht="14.4" x14ac:dyDescent="0.3">
      <c r="A24" s="245">
        <f t="shared" si="2"/>
        <v>12</v>
      </c>
      <c r="B24" s="25"/>
      <c r="C24" s="592"/>
      <c r="D24" s="597"/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8">
        <f>SUM(D24:X24)</f>
        <v>0</v>
      </c>
      <c r="Z24" s="598">
        <f>+Y24+C24</f>
        <v>0</v>
      </c>
      <c r="AA24" s="592"/>
      <c r="AB24" s="592"/>
      <c r="AC24" s="592"/>
      <c r="AD24" s="592"/>
      <c r="AE24" s="592"/>
      <c r="AF24" s="592"/>
      <c r="AG24" s="592"/>
      <c r="AH24" s="592"/>
      <c r="AI24" s="592"/>
      <c r="AJ24" s="592"/>
      <c r="AK24" s="592"/>
      <c r="AL24" s="592"/>
      <c r="AM24" s="592"/>
      <c r="AN24" s="592"/>
      <c r="AO24" s="592"/>
      <c r="AP24" s="592"/>
      <c r="AQ24" s="592"/>
      <c r="AR24" s="592"/>
      <c r="AS24" s="592"/>
      <c r="AT24" s="592"/>
      <c r="AU24" s="592"/>
      <c r="AV24" s="593">
        <f>SUM(AA24:AU24)</f>
        <v>0</v>
      </c>
      <c r="AW24" s="598">
        <f>+AV24+Z24</f>
        <v>0</v>
      </c>
    </row>
    <row r="25" spans="1:58" ht="14.4" x14ac:dyDescent="0.3">
      <c r="A25" s="245">
        <f t="shared" si="2"/>
        <v>13</v>
      </c>
      <c r="B25" s="247" t="s">
        <v>5</v>
      </c>
      <c r="C25" s="13">
        <f t="shared" ref="C25:AD25" si="7">SUM(C21:C24)</f>
        <v>296699052.05999887</v>
      </c>
      <c r="D25" s="599">
        <f t="shared" si="7"/>
        <v>-42859497.28055793</v>
      </c>
      <c r="E25" s="13">
        <f>SUM(E21:E24)</f>
        <v>0</v>
      </c>
      <c r="F25" s="13">
        <f t="shared" si="7"/>
        <v>0</v>
      </c>
      <c r="G25" s="13">
        <f t="shared" si="7"/>
        <v>0</v>
      </c>
      <c r="H25" s="13">
        <f t="shared" si="7"/>
        <v>23490295.960000001</v>
      </c>
      <c r="I25" s="13">
        <f t="shared" si="7"/>
        <v>0</v>
      </c>
      <c r="J25" s="13">
        <f t="shared" si="7"/>
        <v>0</v>
      </c>
      <c r="K25" s="13">
        <f t="shared" si="7"/>
        <v>0</v>
      </c>
      <c r="L25" s="13">
        <f t="shared" si="7"/>
        <v>0</v>
      </c>
      <c r="M25" s="13">
        <f t="shared" si="7"/>
        <v>0</v>
      </c>
      <c r="N25" s="13">
        <f t="shared" si="7"/>
        <v>0</v>
      </c>
      <c r="O25" s="13">
        <f t="shared" si="7"/>
        <v>0</v>
      </c>
      <c r="P25" s="13">
        <f t="shared" si="7"/>
        <v>0</v>
      </c>
      <c r="Q25" s="13">
        <f t="shared" si="7"/>
        <v>0</v>
      </c>
      <c r="R25" s="13">
        <f t="shared" si="7"/>
        <v>0</v>
      </c>
      <c r="S25" s="13">
        <f t="shared" si="7"/>
        <v>0</v>
      </c>
      <c r="T25" s="13">
        <f t="shared" si="7"/>
        <v>0</v>
      </c>
      <c r="U25" s="13">
        <f t="shared" si="7"/>
        <v>0</v>
      </c>
      <c r="V25" s="13">
        <f t="shared" si="7"/>
        <v>0</v>
      </c>
      <c r="W25" s="13">
        <f t="shared" si="7"/>
        <v>0</v>
      </c>
      <c r="X25" s="13">
        <f t="shared" si="7"/>
        <v>0</v>
      </c>
      <c r="Y25" s="600">
        <f t="shared" si="7"/>
        <v>-19369201.32055793</v>
      </c>
      <c r="Z25" s="600">
        <f t="shared" si="7"/>
        <v>277329850.73944092</v>
      </c>
      <c r="AA25" s="13">
        <f t="shared" ref="AA25" si="8">SUM(AA21:AA24)</f>
        <v>0</v>
      </c>
      <c r="AB25" s="13">
        <f>SUM(AB21:AB24)</f>
        <v>15518806.039205611</v>
      </c>
      <c r="AC25" s="13">
        <f t="shared" si="7"/>
        <v>0</v>
      </c>
      <c r="AD25" s="13">
        <f t="shared" si="7"/>
        <v>0</v>
      </c>
      <c r="AE25" s="13">
        <f t="shared" ref="AE25:AW25" si="9">SUM(AE21:AE24)</f>
        <v>0</v>
      </c>
      <c r="AF25" s="13">
        <f t="shared" si="9"/>
        <v>0</v>
      </c>
      <c r="AG25" s="13">
        <f t="shared" si="9"/>
        <v>0</v>
      </c>
      <c r="AH25" s="13">
        <f t="shared" si="9"/>
        <v>0</v>
      </c>
      <c r="AI25" s="13">
        <f t="shared" si="9"/>
        <v>0</v>
      </c>
      <c r="AJ25" s="13">
        <f>SUM(AJ21:AJ24)</f>
        <v>0</v>
      </c>
      <c r="AK25" s="13">
        <f t="shared" si="9"/>
        <v>0</v>
      </c>
      <c r="AL25" s="13">
        <f t="shared" si="9"/>
        <v>0</v>
      </c>
      <c r="AM25" s="13">
        <f t="shared" si="9"/>
        <v>0</v>
      </c>
      <c r="AN25" s="13">
        <f t="shared" si="9"/>
        <v>0</v>
      </c>
      <c r="AO25" s="13">
        <f t="shared" si="9"/>
        <v>0</v>
      </c>
      <c r="AP25" s="13">
        <f t="shared" si="9"/>
        <v>0</v>
      </c>
      <c r="AQ25" s="13">
        <f t="shared" si="9"/>
        <v>0</v>
      </c>
      <c r="AR25" s="13">
        <f t="shared" si="9"/>
        <v>0</v>
      </c>
      <c r="AS25" s="13">
        <f t="shared" ref="AS25" si="10">SUM(AS21:AS24)</f>
        <v>0</v>
      </c>
      <c r="AT25" s="19"/>
      <c r="AU25" s="13">
        <f t="shared" si="9"/>
        <v>0</v>
      </c>
      <c r="AV25" s="41">
        <f t="shared" si="9"/>
        <v>15518806.039205611</v>
      </c>
      <c r="AW25" s="600">
        <f t="shared" si="9"/>
        <v>292848656.77864653</v>
      </c>
    </row>
    <row r="26" spans="1:58" ht="14.4" x14ac:dyDescent="0.3">
      <c r="A26" s="245">
        <f t="shared" si="2"/>
        <v>14</v>
      </c>
      <c r="B26" s="247"/>
      <c r="C26" s="11"/>
      <c r="D26" s="246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38"/>
      <c r="Z26" s="38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38"/>
      <c r="AW26" s="38"/>
    </row>
    <row r="27" spans="1:58" ht="14.4" x14ac:dyDescent="0.3">
      <c r="A27" s="245">
        <f t="shared" si="2"/>
        <v>15</v>
      </c>
      <c r="B27" s="601" t="s">
        <v>6</v>
      </c>
      <c r="C27" s="11">
        <v>6042805.129999999</v>
      </c>
      <c r="D27" s="246"/>
      <c r="E27" s="11"/>
      <c r="F27" s="11"/>
      <c r="G27" s="11"/>
      <c r="H27" s="11"/>
      <c r="I27" s="11"/>
      <c r="J27" s="11"/>
      <c r="K27" s="11">
        <f>'Common Adj'!BK16+'Common Adj'!BK17+'Common Adj'!BK15</f>
        <v>12295.3407060155</v>
      </c>
      <c r="L27" s="11"/>
      <c r="M27" s="11"/>
      <c r="N27" s="11"/>
      <c r="O27" s="11"/>
      <c r="P27" s="11"/>
      <c r="Q27" s="11"/>
      <c r="R27" s="592">
        <f>+'Common Adj'!DO15+'Common Adj'!DO16+'Common Adj'!DO17</f>
        <v>6288.3906926487689</v>
      </c>
      <c r="S27" s="11"/>
      <c r="T27" s="11"/>
      <c r="U27" s="11"/>
      <c r="V27" s="11"/>
      <c r="W27" s="11"/>
      <c r="X27" s="11"/>
      <c r="Y27" s="593">
        <f t="shared" ref="Y27:Y41" si="11">SUM(D27:X27)</f>
        <v>18583.731398664269</v>
      </c>
      <c r="Z27" s="38">
        <f t="shared" ref="Z27:Z41" si="12">+Y27+C27</f>
        <v>6061388.8613986634</v>
      </c>
      <c r="AA27" s="11"/>
      <c r="AB27" s="11"/>
      <c r="AC27" s="11"/>
      <c r="AD27" s="11"/>
      <c r="AE27" s="11"/>
      <c r="AF27" s="11"/>
      <c r="AG27" s="592">
        <f>+'Common Adj'!DQ15+'Common Adj'!DQ16+'Common Adj'!DQ17</f>
        <v>110731.68203954893</v>
      </c>
      <c r="AH27" s="592"/>
      <c r="AI27" s="11"/>
      <c r="AJ27" s="11"/>
      <c r="AK27" s="11"/>
      <c r="AL27" s="11"/>
      <c r="AM27" s="11"/>
      <c r="AN27" s="11"/>
      <c r="AO27" s="11"/>
      <c r="AP27" s="11"/>
      <c r="AQ27" s="11"/>
      <c r="AR27" s="11">
        <f>'Common Adj'!HQ14</f>
        <v>44.329999999999927</v>
      </c>
      <c r="AS27" s="11"/>
      <c r="AT27" s="11"/>
      <c r="AU27" s="11"/>
      <c r="AV27" s="593">
        <f t="shared" ref="AV27:AV41" si="13">SUM(AA27:AU27)</f>
        <v>110776.01203954894</v>
      </c>
      <c r="AW27" s="38">
        <f t="shared" ref="AW27:AW41" si="14">+AV27+Z27</f>
        <v>6172164.8734382121</v>
      </c>
    </row>
    <row r="28" spans="1:58" ht="14.4" x14ac:dyDescent="0.3">
      <c r="A28" s="245">
        <f t="shared" si="2"/>
        <v>16</v>
      </c>
      <c r="B28" s="247" t="s">
        <v>7</v>
      </c>
      <c r="C28" s="20">
        <v>2110.77</v>
      </c>
      <c r="D28" s="597"/>
      <c r="E28" s="592"/>
      <c r="F28" s="592"/>
      <c r="G28" s="592"/>
      <c r="H28" s="592"/>
      <c r="I28" s="592"/>
      <c r="J28" s="592"/>
      <c r="K28" s="592">
        <f>'Common Adj'!BL18</f>
        <v>0</v>
      </c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  <c r="W28" s="592"/>
      <c r="X28" s="592"/>
      <c r="Y28" s="593">
        <f t="shared" si="11"/>
        <v>0</v>
      </c>
      <c r="Z28" s="593">
        <f t="shared" si="12"/>
        <v>2110.77</v>
      </c>
      <c r="AA28" s="592"/>
      <c r="AB28" s="592"/>
      <c r="AC28" s="592"/>
      <c r="AD28" s="592"/>
      <c r="AE28" s="592"/>
      <c r="AF28" s="592"/>
      <c r="AG28" s="592"/>
      <c r="AH28" s="592"/>
      <c r="AI28" s="592"/>
      <c r="AJ28" s="592"/>
      <c r="AK28" s="592"/>
      <c r="AL28" s="592"/>
      <c r="AM28" s="592"/>
      <c r="AN28" s="592"/>
      <c r="AO28" s="592"/>
      <c r="AP28" s="592"/>
      <c r="AQ28" s="592"/>
      <c r="AR28" s="592">
        <f>'Common Adj'!HQ15</f>
        <v>57.75</v>
      </c>
      <c r="AS28" s="592"/>
      <c r="AT28" s="592"/>
      <c r="AU28" s="592"/>
      <c r="AV28" s="593">
        <f t="shared" si="13"/>
        <v>57.75</v>
      </c>
      <c r="AW28" s="593">
        <f t="shared" si="14"/>
        <v>2168.52</v>
      </c>
    </row>
    <row r="29" spans="1:58" ht="14.4" x14ac:dyDescent="0.3">
      <c r="A29" s="245">
        <f t="shared" si="2"/>
        <v>17</v>
      </c>
      <c r="B29" s="247" t="s">
        <v>8</v>
      </c>
      <c r="C29" s="20">
        <v>60174168.099999979</v>
      </c>
      <c r="D29" s="597"/>
      <c r="E29" s="592"/>
      <c r="F29" s="592"/>
      <c r="G29" s="592"/>
      <c r="H29" s="592"/>
      <c r="I29" s="592"/>
      <c r="J29" s="592"/>
      <c r="K29" s="592">
        <f>'Common Adj'!BK19</f>
        <v>120834.00614718534</v>
      </c>
      <c r="L29" s="592"/>
      <c r="M29" s="592"/>
      <c r="N29" s="592"/>
      <c r="O29" s="592"/>
      <c r="P29" s="592"/>
      <c r="Q29" s="592"/>
      <c r="R29" s="592">
        <f>+'Common Adj'!DO19</f>
        <v>402623.26229435951</v>
      </c>
      <c r="S29" s="592"/>
      <c r="T29" s="592"/>
      <c r="U29" s="592"/>
      <c r="V29" s="592"/>
      <c r="W29" s="592"/>
      <c r="X29" s="592"/>
      <c r="Y29" s="593">
        <f t="shared" si="11"/>
        <v>523457.26844154485</v>
      </c>
      <c r="Z29" s="593">
        <f t="shared" si="12"/>
        <v>60697625.368441522</v>
      </c>
      <c r="AA29" s="592"/>
      <c r="AB29" s="592"/>
      <c r="AC29" s="592"/>
      <c r="AD29" s="592"/>
      <c r="AE29" s="592"/>
      <c r="AF29" s="592"/>
      <c r="AG29" s="592">
        <f>+'Common Adj'!DQ19</f>
        <v>1350205.8821382411</v>
      </c>
      <c r="AH29" s="592"/>
      <c r="AI29" s="592"/>
      <c r="AJ29" s="592"/>
      <c r="AK29" s="592"/>
      <c r="AL29" s="592"/>
      <c r="AM29" s="592"/>
      <c r="AN29" s="592"/>
      <c r="AO29" s="592"/>
      <c r="AP29" s="592"/>
      <c r="AQ29" s="592"/>
      <c r="AR29" s="592">
        <f>'Common Adj'!HQ16</f>
        <v>278617.51000000164</v>
      </c>
      <c r="AS29" s="592"/>
      <c r="AT29" s="592"/>
      <c r="AU29" s="592"/>
      <c r="AV29" s="593">
        <f t="shared" si="13"/>
        <v>1628823.3921382427</v>
      </c>
      <c r="AW29" s="593">
        <f t="shared" si="14"/>
        <v>62326448.760579765</v>
      </c>
    </row>
    <row r="30" spans="1:58" ht="14.4" x14ac:dyDescent="0.3">
      <c r="A30" s="245">
        <f t="shared" si="2"/>
        <v>18</v>
      </c>
      <c r="B30" s="247" t="s">
        <v>9</v>
      </c>
      <c r="C30" s="20">
        <v>29807451.619999997</v>
      </c>
      <c r="D30" s="597">
        <f>+'Common Adj'!F38</f>
        <v>-220263.82634213765</v>
      </c>
      <c r="E30" s="592">
        <f>+'Common Adj'!N24</f>
        <v>367.93060853051429</v>
      </c>
      <c r="F30" s="592"/>
      <c r="G30" s="592"/>
      <c r="H30" s="592">
        <f>+'Common Adj'!AL28</f>
        <v>-319800.48572257528</v>
      </c>
      <c r="I30" s="592"/>
      <c r="J30" s="592">
        <f>+'Common Adj'!BB15</f>
        <v>158770.57562207896</v>
      </c>
      <c r="K30" s="592">
        <f>'Common Adj'!BK20</f>
        <v>29475.590301084216</v>
      </c>
      <c r="L30" s="592"/>
      <c r="M30" s="592"/>
      <c r="N30" s="592">
        <f>+'Common Adj'!CI14</f>
        <v>204503.64267608413</v>
      </c>
      <c r="O30" s="592"/>
      <c r="P30" s="592"/>
      <c r="Q30" s="592"/>
      <c r="R30" s="592">
        <f>+'Common Adj'!DO20</f>
        <v>12956.20307548251</v>
      </c>
      <c r="S30" s="592"/>
      <c r="T30" s="592"/>
      <c r="U30" s="592"/>
      <c r="V30" s="592"/>
      <c r="W30" s="592"/>
      <c r="X30" s="592"/>
      <c r="Y30" s="598">
        <f t="shared" si="11"/>
        <v>-133990.36978145252</v>
      </c>
      <c r="Z30" s="598">
        <f t="shared" si="12"/>
        <v>29673461.250218544</v>
      </c>
      <c r="AA30" s="592">
        <f>+'Common Adj'!H38</f>
        <v>-50235.68436852</v>
      </c>
      <c r="AB30" s="592">
        <f>+'Common Adj'!P24</f>
        <v>166613.12611964857</v>
      </c>
      <c r="AC30" s="592"/>
      <c r="AD30" s="592"/>
      <c r="AE30" s="592">
        <f>-M30</f>
        <v>0</v>
      </c>
      <c r="AF30" s="592"/>
      <c r="AG30" s="592">
        <f>+'Common Adj'!DQ20</f>
        <v>274377.34146429319</v>
      </c>
      <c r="AH30" s="592"/>
      <c r="AI30" s="592"/>
      <c r="AJ30" s="592"/>
      <c r="AK30" s="592"/>
      <c r="AL30" s="592"/>
      <c r="AM30" s="592"/>
      <c r="AN30" s="592"/>
      <c r="AO30" s="592">
        <f>'Common Adj'!GS15</f>
        <v>-435567.581275</v>
      </c>
      <c r="AP30" s="592"/>
      <c r="AQ30" s="592"/>
      <c r="AR30" s="592">
        <f>'Common Adj'!HQ17</f>
        <v>105258.47999999952</v>
      </c>
      <c r="AS30" s="592"/>
      <c r="AT30" s="592"/>
      <c r="AU30" s="592">
        <f>'Gas Adj'!Q22</f>
        <v>-35768.190475448326</v>
      </c>
      <c r="AV30" s="593">
        <f t="shared" si="13"/>
        <v>24677.491464972962</v>
      </c>
      <c r="AW30" s="598">
        <f t="shared" si="14"/>
        <v>29698138.741683517</v>
      </c>
    </row>
    <row r="31" spans="1:58" ht="14.4" x14ac:dyDescent="0.3">
      <c r="A31" s="245">
        <f t="shared" si="2"/>
        <v>19</v>
      </c>
      <c r="B31" s="247" t="s">
        <v>10</v>
      </c>
      <c r="C31" s="20">
        <v>6574431.0799999991</v>
      </c>
      <c r="D31" s="597"/>
      <c r="E31" s="592"/>
      <c r="F31" s="592"/>
      <c r="G31" s="592"/>
      <c r="H31" s="592">
        <f>+'Common Adj'!AL34+'Common Adj'!AL39</f>
        <v>-4814956.5200000005</v>
      </c>
      <c r="I31" s="592"/>
      <c r="J31" s="592"/>
      <c r="K31" s="592">
        <f>'Common Adj'!BK21</f>
        <v>3037.0306528052533</v>
      </c>
      <c r="L31" s="592"/>
      <c r="M31" s="592"/>
      <c r="N31" s="592"/>
      <c r="O31" s="592"/>
      <c r="P31" s="592"/>
      <c r="Q31" s="592"/>
      <c r="R31" s="592">
        <f>+'Common Adj'!DO21</f>
        <v>724.48399190953933</v>
      </c>
      <c r="S31" s="592"/>
      <c r="T31" s="592"/>
      <c r="U31" s="592"/>
      <c r="V31" s="592"/>
      <c r="W31" s="592"/>
      <c r="X31" s="592"/>
      <c r="Y31" s="593">
        <f t="shared" si="11"/>
        <v>-4811195.0053552855</v>
      </c>
      <c r="Z31" s="593">
        <f t="shared" si="12"/>
        <v>1763236.0746447137</v>
      </c>
      <c r="AA31" s="592"/>
      <c r="AB31" s="592"/>
      <c r="AC31" s="592"/>
      <c r="AD31" s="592"/>
      <c r="AE31" s="592"/>
      <c r="AF31" s="592"/>
      <c r="AG31" s="592">
        <f>+'Common Adj'!DQ21</f>
        <v>31612.10595257883</v>
      </c>
      <c r="AH31" s="592"/>
      <c r="AI31" s="592"/>
      <c r="AJ31" s="592"/>
      <c r="AK31" s="592"/>
      <c r="AL31" s="592"/>
      <c r="AM31" s="592"/>
      <c r="AN31" s="592"/>
      <c r="AO31" s="592"/>
      <c r="AP31" s="592"/>
      <c r="AQ31" s="592"/>
      <c r="AR31" s="592"/>
      <c r="AS31" s="592"/>
      <c r="AT31" s="592"/>
      <c r="AU31" s="592"/>
      <c r="AV31" s="593">
        <f t="shared" si="13"/>
        <v>31612.10595257883</v>
      </c>
      <c r="AW31" s="593">
        <f t="shared" si="14"/>
        <v>1794848.1805972925</v>
      </c>
    </row>
    <row r="32" spans="1:58" ht="14.4" x14ac:dyDescent="0.3">
      <c r="A32" s="245">
        <f t="shared" si="2"/>
        <v>20</v>
      </c>
      <c r="B32" s="247" t="s">
        <v>11</v>
      </c>
      <c r="C32" s="20">
        <v>14625833.34</v>
      </c>
      <c r="D32" s="597"/>
      <c r="E32" s="592"/>
      <c r="F32" s="592"/>
      <c r="G32" s="592"/>
      <c r="H32" s="592">
        <f>+'Common Adj'!AL35</f>
        <v>-14625833.34</v>
      </c>
      <c r="I32" s="592"/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  <c r="W32" s="592"/>
      <c r="X32" s="592"/>
      <c r="Y32" s="593">
        <f t="shared" si="11"/>
        <v>-14625833.34</v>
      </c>
      <c r="Z32" s="593">
        <f t="shared" si="12"/>
        <v>0</v>
      </c>
      <c r="AA32" s="592"/>
      <c r="AB32" s="592"/>
      <c r="AC32" s="592"/>
      <c r="AD32" s="592"/>
      <c r="AE32" s="592"/>
      <c r="AF32" s="592"/>
      <c r="AG32" s="592"/>
      <c r="AH32" s="592"/>
      <c r="AI32" s="592"/>
      <c r="AJ32" s="592"/>
      <c r="AK32" s="592"/>
      <c r="AL32" s="592"/>
      <c r="AM32" s="592"/>
      <c r="AN32" s="592"/>
      <c r="AO32" s="592"/>
      <c r="AP32" s="592"/>
      <c r="AQ32" s="592"/>
      <c r="AR32" s="592"/>
      <c r="AS32" s="592"/>
      <c r="AT32" s="592"/>
      <c r="AU32" s="592"/>
      <c r="AV32" s="593">
        <f t="shared" si="13"/>
        <v>0</v>
      </c>
      <c r="AW32" s="593">
        <f t="shared" si="14"/>
        <v>0</v>
      </c>
    </row>
    <row r="33" spans="1:50" ht="14.4" x14ac:dyDescent="0.3">
      <c r="A33" s="245">
        <f t="shared" si="2"/>
        <v>21</v>
      </c>
      <c r="B33" s="247" t="s">
        <v>12</v>
      </c>
      <c r="C33" s="20">
        <v>57249534.549999997</v>
      </c>
      <c r="D33" s="597">
        <f>+'Common Adj'!F39</f>
        <v>-85973.390453605636</v>
      </c>
      <c r="E33" s="592">
        <f>+'Common Adj'!N25</f>
        <v>143.61069809934452</v>
      </c>
      <c r="F33" s="592"/>
      <c r="G33" s="592"/>
      <c r="H33" s="592">
        <f>+'Common Adj'!AL29</f>
        <v>-124824.54555916287</v>
      </c>
      <c r="I33" s="592">
        <f>'Common Adj'!AT18</f>
        <v>1590277.3748527463</v>
      </c>
      <c r="J33" s="592"/>
      <c r="K33" s="592">
        <f>'Common Adj'!BK23</f>
        <v>51935.705390093848</v>
      </c>
      <c r="L33" s="592">
        <f>+'Common Adj'!BS15</f>
        <v>54197.611339999828</v>
      </c>
      <c r="M33" s="592">
        <f>+'Common Adj'!CA18</f>
        <v>-4849.3982530915964</v>
      </c>
      <c r="N33" s="592"/>
      <c r="O33" s="592">
        <f>+'Common Adj'!CQ17</f>
        <v>554529.46239700005</v>
      </c>
      <c r="P33" s="592">
        <f>+'Common Adj'!CY17</f>
        <v>975254.11071527051</v>
      </c>
      <c r="Q33" s="592">
        <f>'Common Adj'!DG16</f>
        <v>66640.65767213903</v>
      </c>
      <c r="R33" s="592">
        <f>+'Common Adj'!DO23</f>
        <v>16612.400363540277</v>
      </c>
      <c r="S33" s="592">
        <f>+'Common Adj'!DW26</f>
        <v>5304.286799574289</v>
      </c>
      <c r="T33" s="592">
        <f>'Common Adj'!EE21</f>
        <v>13475.113426476943</v>
      </c>
      <c r="U33" s="592"/>
      <c r="V33" s="592"/>
      <c r="W33" s="592">
        <f>+'Common Adj'!GA29</f>
        <v>-658973.79925230017</v>
      </c>
      <c r="X33" s="592"/>
      <c r="Y33" s="598">
        <f t="shared" si="11"/>
        <v>2453749.2001367798</v>
      </c>
      <c r="Z33" s="598">
        <f t="shared" si="12"/>
        <v>59703283.750136778</v>
      </c>
      <c r="AA33" s="592">
        <f>+'Common Adj'!H39</f>
        <v>-19607.995460000002</v>
      </c>
      <c r="AB33" s="592">
        <f>+'Common Adj'!P25</f>
        <v>65032.445792212558</v>
      </c>
      <c r="AC33" s="592"/>
      <c r="AD33" s="592">
        <f>+'Common Adj'!BU15</f>
        <v>-54197.611339999828</v>
      </c>
      <c r="AE33" s="592">
        <f>+'Common Adj'!CC18</f>
        <v>4849.3982530915964</v>
      </c>
      <c r="AF33" s="592">
        <f>'Common Adj'!DI16</f>
        <v>30987.620973575831</v>
      </c>
      <c r="AG33" s="592">
        <f>+'Common Adj'!DQ23</f>
        <v>552918.51170147955</v>
      </c>
      <c r="AH33" s="592">
        <f>+'Common Adj'!DY26</f>
        <v>117536.2105541807</v>
      </c>
      <c r="AI33" s="592">
        <f>'Common Adj'!EG19</f>
        <v>390546.4051953943</v>
      </c>
      <c r="AJ33" s="592"/>
      <c r="AK33" s="592"/>
      <c r="AL33" s="592"/>
      <c r="AM33" s="592">
        <f>+'Common Adj'!GC29</f>
        <v>-169824.88682564982</v>
      </c>
      <c r="AN33" s="592"/>
      <c r="AO33" s="592"/>
      <c r="AP33" s="592"/>
      <c r="AQ33" s="592"/>
      <c r="AR33" s="592">
        <f>'Common Adj'!HQ18</f>
        <v>600.87663299999986</v>
      </c>
      <c r="AS33" s="592"/>
      <c r="AT33" s="592"/>
      <c r="AU33" s="592">
        <f>'Gas Adj'!Q23</f>
        <v>-13961.042340143764</v>
      </c>
      <c r="AV33" s="593">
        <f t="shared" si="13"/>
        <v>904879.93313714105</v>
      </c>
      <c r="AW33" s="598">
        <f t="shared" si="14"/>
        <v>60608163.683273919</v>
      </c>
    </row>
    <row r="34" spans="1:50" ht="14.4" x14ac:dyDescent="0.3">
      <c r="A34" s="245">
        <f t="shared" si="2"/>
        <v>22</v>
      </c>
      <c r="B34" s="247" t="s">
        <v>13</v>
      </c>
      <c r="C34" s="20">
        <v>116957730.5099999</v>
      </c>
      <c r="D34" s="597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>
        <f>+'Common Adj'!EU14+'Common Adj'!EU15+'Common Adj'!EU19</f>
        <v>4136955.6219727392</v>
      </c>
      <c r="W34" s="592"/>
      <c r="X34" s="592"/>
      <c r="Y34" s="593">
        <f t="shared" si="11"/>
        <v>4136955.6219727392</v>
      </c>
      <c r="Z34" s="593">
        <f t="shared" si="12"/>
        <v>121094686.13197264</v>
      </c>
      <c r="AA34" s="592"/>
      <c r="AB34" s="592"/>
      <c r="AC34" s="592"/>
      <c r="AD34" s="592"/>
      <c r="AE34" s="592"/>
      <c r="AF34" s="592"/>
      <c r="AG34" s="592"/>
      <c r="AH34" s="592"/>
      <c r="AI34" s="592"/>
      <c r="AJ34" s="592"/>
      <c r="AK34" s="592"/>
      <c r="AL34" s="592">
        <f>SUM('Common Adj'!FT29:FT30)</f>
        <v>1487156.9888806862</v>
      </c>
      <c r="AM34" s="592"/>
      <c r="AO34" s="592"/>
      <c r="AP34" s="592"/>
      <c r="AQ34" s="592">
        <f>+'Common Adj'!HI21</f>
        <v>162101.82341541813</v>
      </c>
      <c r="AR34" s="592"/>
      <c r="AT34" s="592">
        <f>'Gas Adj'!H22</f>
        <v>-39543.813052333338</v>
      </c>
      <c r="AU34" s="592">
        <f>'Gas Adj'!Q18</f>
        <v>0</v>
      </c>
      <c r="AV34" s="593">
        <f t="shared" si="13"/>
        <v>1609714.999243771</v>
      </c>
      <c r="AW34" s="593">
        <f t="shared" si="14"/>
        <v>122704401.13121641</v>
      </c>
    </row>
    <row r="35" spans="1:50" ht="14.4" x14ac:dyDescent="0.3">
      <c r="A35" s="245">
        <f t="shared" si="2"/>
        <v>23</v>
      </c>
      <c r="B35" s="247" t="s">
        <v>14</v>
      </c>
      <c r="C35" s="20">
        <v>26117569.960000001</v>
      </c>
      <c r="D35" s="597"/>
      <c r="E35" s="592"/>
      <c r="F35" s="592"/>
      <c r="G35" s="592"/>
      <c r="H35" s="592"/>
      <c r="I35" s="592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>
        <f>+'Common Adj'!EU16+'Common Adj'!EU17+'Common Adj'!EU20</f>
        <v>8190016.0321619846</v>
      </c>
      <c r="W35" s="592"/>
      <c r="X35" s="592"/>
      <c r="Y35" s="593">
        <f t="shared" si="11"/>
        <v>8190016.0321619846</v>
      </c>
      <c r="Z35" s="593">
        <f t="shared" si="12"/>
        <v>34307585.992161989</v>
      </c>
      <c r="AA35" s="592"/>
      <c r="AB35" s="592"/>
      <c r="AC35" s="592"/>
      <c r="AD35" s="592"/>
      <c r="AE35" s="592"/>
      <c r="AF35" s="592"/>
      <c r="AG35" s="592"/>
      <c r="AH35" s="592"/>
      <c r="AI35" s="592"/>
      <c r="AJ35" s="592"/>
      <c r="AK35" s="592"/>
      <c r="AL35" s="592"/>
      <c r="AM35" s="592"/>
      <c r="AN35" s="592">
        <f>'Common Adj'!GK30</f>
        <v>4150710.4686683994</v>
      </c>
      <c r="AO35" s="592"/>
      <c r="AP35" s="592"/>
      <c r="AQ35" s="592"/>
      <c r="AR35" s="592"/>
      <c r="AS35" s="592">
        <f>'Common Adj'!HY24</f>
        <v>366871.7399634</v>
      </c>
      <c r="AT35" s="592"/>
      <c r="AU35" s="592"/>
      <c r="AV35" s="593">
        <f t="shared" si="13"/>
        <v>4517582.2086317996</v>
      </c>
      <c r="AW35" s="593">
        <f t="shared" si="14"/>
        <v>38825168.200793788</v>
      </c>
    </row>
    <row r="36" spans="1:50" ht="14.4" x14ac:dyDescent="0.3">
      <c r="A36" s="245">
        <f t="shared" si="2"/>
        <v>24</v>
      </c>
      <c r="B36" s="601" t="s">
        <v>15</v>
      </c>
      <c r="C36" s="20"/>
      <c r="D36" s="597"/>
      <c r="E36" s="592"/>
      <c r="F36" s="592"/>
      <c r="G36" s="592"/>
      <c r="H36" s="592"/>
      <c r="I36" s="592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  <c r="W36" s="592"/>
      <c r="X36" s="592"/>
      <c r="Y36" s="593">
        <f t="shared" si="11"/>
        <v>0</v>
      </c>
      <c r="Z36" s="593">
        <f t="shared" si="12"/>
        <v>0</v>
      </c>
      <c r="AA36" s="592"/>
      <c r="AB36" s="592"/>
      <c r="AC36" s="592"/>
      <c r="AD36" s="592"/>
      <c r="AE36" s="592"/>
      <c r="AF36" s="592"/>
      <c r="AG36" s="592"/>
      <c r="AH36" s="592"/>
      <c r="AI36" s="592"/>
      <c r="AJ36" s="592"/>
      <c r="AK36" s="592"/>
      <c r="AL36" s="592"/>
      <c r="AM36" s="592"/>
      <c r="AN36" s="592"/>
      <c r="AO36" s="592"/>
      <c r="AP36" s="592"/>
      <c r="AQ36" s="592"/>
      <c r="AR36" s="592"/>
      <c r="AS36" s="592"/>
      <c r="AT36" s="592"/>
      <c r="AU36" s="592"/>
      <c r="AV36" s="593">
        <f t="shared" si="13"/>
        <v>0</v>
      </c>
      <c r="AW36" s="593">
        <f t="shared" si="14"/>
        <v>0</v>
      </c>
    </row>
    <row r="37" spans="1:50" ht="14.4" x14ac:dyDescent="0.3">
      <c r="A37" s="245">
        <f t="shared" si="2"/>
        <v>25</v>
      </c>
      <c r="B37" s="247" t="s">
        <v>16</v>
      </c>
      <c r="C37" s="20">
        <v>8769360.9199999981</v>
      </c>
      <c r="D37" s="597"/>
      <c r="E37" s="592"/>
      <c r="F37" s="592"/>
      <c r="G37" s="592"/>
      <c r="H37" s="592"/>
      <c r="I37" s="592"/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  <c r="W37" s="592"/>
      <c r="X37" s="592"/>
      <c r="Y37" s="593">
        <f t="shared" si="11"/>
        <v>0</v>
      </c>
      <c r="Z37" s="593">
        <f t="shared" si="12"/>
        <v>8769360.9199999981</v>
      </c>
      <c r="AA37" s="592"/>
      <c r="AB37" s="592"/>
      <c r="AC37" s="592"/>
      <c r="AD37" s="592"/>
      <c r="AE37" s="592"/>
      <c r="AF37" s="592"/>
      <c r="AG37" s="592"/>
      <c r="AH37" s="592"/>
      <c r="AI37" s="592"/>
      <c r="AJ37" s="421">
        <f>'Common Adj'!FE17</f>
        <v>-91958.276666666628</v>
      </c>
      <c r="AK37" s="421">
        <f>'Common Adj'!FM15</f>
        <v>856890.67156689428</v>
      </c>
      <c r="AL37" s="592">
        <f>SUM('Common Adj'!FT31:FT32)</f>
        <v>2298433.4531654669</v>
      </c>
      <c r="AM37" s="592"/>
      <c r="AN37" s="597">
        <f>'Common Adj'!GK31+'Common Adj'!GK32</f>
        <v>4046416.6090600006</v>
      </c>
      <c r="AO37" s="592"/>
      <c r="AP37" s="592"/>
      <c r="AQ37" s="592"/>
      <c r="AR37" s="592"/>
      <c r="AS37" s="592"/>
      <c r="AT37" s="592"/>
      <c r="AU37" s="592"/>
      <c r="AV37" s="598">
        <f t="shared" si="13"/>
        <v>7109782.4571256954</v>
      </c>
      <c r="AW37" s="598">
        <f t="shared" si="14"/>
        <v>15879143.377125693</v>
      </c>
      <c r="AX37" s="20">
        <v>6374726.2163796239</v>
      </c>
    </row>
    <row r="38" spans="1:50" ht="14.4" x14ac:dyDescent="0.3">
      <c r="A38" s="245">
        <f t="shared" si="2"/>
        <v>26</v>
      </c>
      <c r="B38" s="25" t="s">
        <v>17</v>
      </c>
      <c r="C38" s="20"/>
      <c r="D38" s="597"/>
      <c r="E38" s="592"/>
      <c r="F38" s="592"/>
      <c r="G38" s="592"/>
      <c r="H38" s="592"/>
      <c r="I38" s="592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  <c r="W38" s="592"/>
      <c r="X38" s="592"/>
      <c r="Y38" s="593">
        <f t="shared" si="11"/>
        <v>0</v>
      </c>
      <c r="Z38" s="593">
        <f t="shared" si="12"/>
        <v>0</v>
      </c>
      <c r="AA38" s="592"/>
      <c r="AB38" s="592"/>
      <c r="AC38" s="592"/>
      <c r="AD38" s="592"/>
      <c r="AE38" s="592"/>
      <c r="AF38" s="592"/>
      <c r="AG38" s="592"/>
      <c r="AH38" s="592"/>
      <c r="AI38" s="592"/>
      <c r="AJ38" s="592"/>
      <c r="AK38" s="592"/>
      <c r="AL38" s="592"/>
      <c r="AM38" s="592"/>
      <c r="AN38" s="597"/>
      <c r="AO38" s="592"/>
      <c r="AP38" s="592"/>
      <c r="AQ38" s="592"/>
      <c r="AR38" s="592"/>
      <c r="AS38" s="592"/>
      <c r="AT38" s="592"/>
      <c r="AU38" s="592"/>
      <c r="AV38" s="593">
        <f t="shared" si="13"/>
        <v>0</v>
      </c>
      <c r="AW38" s="593">
        <f t="shared" si="14"/>
        <v>0</v>
      </c>
      <c r="AX38" s="20">
        <f>+AX37-AV37</f>
        <v>-735056.24074607156</v>
      </c>
    </row>
    <row r="39" spans="1:50" ht="14.4" x14ac:dyDescent="0.3">
      <c r="A39" s="245">
        <f t="shared" si="2"/>
        <v>27</v>
      </c>
      <c r="B39" s="247" t="s">
        <v>18</v>
      </c>
      <c r="C39" s="20">
        <v>101477296.77</v>
      </c>
      <c r="D39" s="597">
        <f>+'Common Adj'!F40</f>
        <v>-1647379.1211767646</v>
      </c>
      <c r="E39" s="592">
        <f>+'Common Adj'!N26</f>
        <v>2751.7963916305744</v>
      </c>
      <c r="F39" s="592"/>
      <c r="G39" s="592"/>
      <c r="H39" s="592">
        <f>+SUM('Common Adj'!AL30,'Common Adj'!AL36,'Common Adj'!AL40)</f>
        <v>-64229661.891571902</v>
      </c>
      <c r="I39" s="592"/>
      <c r="J39" s="592"/>
      <c r="K39" s="592">
        <f>+'Common Adj'!BK26</f>
        <v>19255.624077950837</v>
      </c>
      <c r="L39" s="592">
        <f>+'Common Adj'!BS14</f>
        <v>-142661.06778199971</v>
      </c>
      <c r="M39" s="592"/>
      <c r="N39" s="592"/>
      <c r="O39" s="592"/>
      <c r="P39" s="592"/>
      <c r="Q39" s="592"/>
      <c r="R39" s="592">
        <f>+'Common Adj'!DO26</f>
        <v>15731.221345781985</v>
      </c>
      <c r="S39" s="592"/>
      <c r="T39" s="592"/>
      <c r="U39" s="592"/>
      <c r="V39" s="592"/>
      <c r="W39" s="592"/>
      <c r="X39" s="592"/>
      <c r="Y39" s="602">
        <f t="shared" si="11"/>
        <v>-65981963.438715301</v>
      </c>
      <c r="Z39" s="602">
        <f t="shared" si="12"/>
        <v>35495333.331284694</v>
      </c>
      <c r="AA39" s="592">
        <f>+'Common Adj'!H40</f>
        <v>-375718.60500679002</v>
      </c>
      <c r="AB39" s="592">
        <f>+'Common Adj'!P26</f>
        <v>1246119.2100474811</v>
      </c>
      <c r="AC39" s="592"/>
      <c r="AD39" s="592">
        <f>+'Common Adj'!BU14</f>
        <v>142661.06778199971</v>
      </c>
      <c r="AE39" s="592"/>
      <c r="AF39" s="592"/>
      <c r="AG39" s="592">
        <f>+'Common Adj'!DQ26</f>
        <v>97848.25822564293</v>
      </c>
      <c r="AH39" s="592"/>
      <c r="AI39" s="592"/>
      <c r="AJ39" s="592"/>
      <c r="AK39" s="592"/>
      <c r="AL39" s="592"/>
      <c r="AM39" s="592"/>
      <c r="AN39" s="597"/>
      <c r="AO39" s="592"/>
      <c r="AP39" s="592"/>
      <c r="AQ39" s="592"/>
      <c r="AR39" s="592"/>
      <c r="AS39" s="592"/>
      <c r="AT39" s="592"/>
      <c r="AU39" s="592">
        <f>'Gas Adj'!Q26</f>
        <v>-267514.51280066476</v>
      </c>
      <c r="AV39" s="593">
        <f t="shared" si="13"/>
        <v>843395.41824766889</v>
      </c>
      <c r="AW39" s="598">
        <f t="shared" si="14"/>
        <v>36338728.749532364</v>
      </c>
    </row>
    <row r="40" spans="1:50" ht="14.4" x14ac:dyDescent="0.3">
      <c r="A40" s="245">
        <f t="shared" si="2"/>
        <v>28</v>
      </c>
      <c r="B40" s="247" t="s">
        <v>19</v>
      </c>
      <c r="C40" s="20">
        <v>31944158.879999999</v>
      </c>
      <c r="D40" s="597">
        <f>+'Common Adj'!F44</f>
        <v>383547.86226280016</v>
      </c>
      <c r="E40" s="592">
        <f>+'Common Adj'!N31</f>
        <v>14393.822383796236</v>
      </c>
      <c r="F40" s="592">
        <f>'Common Adj'!V14</f>
        <v>-11297868.699383605</v>
      </c>
      <c r="G40" s="597">
        <f>++'Common Adj'!AD21</f>
        <v>-12916465.693796374</v>
      </c>
      <c r="H40" s="592">
        <f>+'Common Adj'!AL44</f>
        <v>-375373.31091283698</v>
      </c>
      <c r="I40" s="592">
        <f>'Common Adj'!AT19</f>
        <v>-333958.24871907668</v>
      </c>
      <c r="J40" s="592">
        <f>+'Common Adj'!BB18</f>
        <v>-33341.820880636573</v>
      </c>
      <c r="K40" s="592">
        <f>+'Common Adj'!BK29</f>
        <v>-49734.99242777843</v>
      </c>
      <c r="L40" s="592">
        <f>+'Common Adj'!BS19</f>
        <v>18577.325852819718</v>
      </c>
      <c r="M40" s="592">
        <f>+'Common Adj'!CA20</f>
        <v>1018.3736331492352</v>
      </c>
      <c r="N40" s="592"/>
      <c r="O40" s="592">
        <f>+'Common Adj'!CQ19</f>
        <v>-116451.18710337</v>
      </c>
      <c r="P40" s="592">
        <f>+'Common Adj'!CY18</f>
        <v>-204803.36325020681</v>
      </c>
      <c r="Q40" s="592">
        <f>'Common Adj'!DG18</f>
        <v>-13994.538111149195</v>
      </c>
      <c r="R40" s="592">
        <f>+'Common Adj'!DO30</f>
        <v>-95536.551970381741</v>
      </c>
      <c r="S40" s="592">
        <f>+'Common Adj'!DW32</f>
        <v>-1113.9002279105969</v>
      </c>
      <c r="T40" s="592">
        <f>'Common Adj'!EE23</f>
        <v>-2829.7738195601578</v>
      </c>
      <c r="U40" s="592"/>
      <c r="V40" s="592">
        <f>'Common Adj'!EU25</f>
        <v>-2588664.0473682922</v>
      </c>
      <c r="W40" s="592">
        <f>+'Common Adj'!GA31</f>
        <v>138384.49784298302</v>
      </c>
      <c r="X40" s="592"/>
      <c r="Y40" s="598">
        <f t="shared" si="11"/>
        <v>-27474214.24599563</v>
      </c>
      <c r="Z40" s="598">
        <f t="shared" si="12"/>
        <v>4469944.6340043694</v>
      </c>
      <c r="AA40" s="592">
        <f>+'Common Adj'!H44</f>
        <v>-1965271.4434845848</v>
      </c>
      <c r="AB40" s="592">
        <f>+'Common Adj'!P31</f>
        <v>3259126.9357376778</v>
      </c>
      <c r="AC40" s="592">
        <f>'Common Adj'!AF21</f>
        <v>182704.31817000164</v>
      </c>
      <c r="AD40" s="592">
        <f>+'Common Adj'!BU19</f>
        <v>-18577.325852819973</v>
      </c>
      <c r="AE40" s="592">
        <f>+'Common Adj'!CC20</f>
        <v>-1018.3736331492352</v>
      </c>
      <c r="AF40" s="592">
        <f>'Common Adj'!DI18</f>
        <v>-6507.4004044509247</v>
      </c>
      <c r="AG40" s="592">
        <f>+'Common Adj'!DQ30</f>
        <v>-507715.69411957473</v>
      </c>
      <c r="AH40" s="592">
        <f>+'Common Adj'!DY32</f>
        <v>-24682.604216377938</v>
      </c>
      <c r="AI40" s="592">
        <f>'Common Adj'!EG23</f>
        <v>-82014.745091032804</v>
      </c>
      <c r="AJ40" s="592">
        <f>'Common Adj'!FE19</f>
        <v>19311.238099999991</v>
      </c>
      <c r="AK40" s="592">
        <f>'Common Adj'!FM18</f>
        <v>-179947.0410290478</v>
      </c>
      <c r="AL40" s="592">
        <f>+'Common Adj'!FT37</f>
        <v>-794973.9928296922</v>
      </c>
      <c r="AM40" s="592">
        <f>+'Common Adj'!GC31</f>
        <v>35663.226233386464</v>
      </c>
      <c r="AN40" s="597">
        <f>'Common Adj'!GK37</f>
        <v>-1721396.686322964</v>
      </c>
      <c r="AO40" s="592">
        <f>'Common Adj'!GS19</f>
        <v>91469.192067750002</v>
      </c>
      <c r="AP40" s="592"/>
      <c r="AQ40" s="592">
        <f>+'Common Adj'!HI26</f>
        <v>-34041.382917237803</v>
      </c>
      <c r="AR40" s="592">
        <f>'Common Adj'!HQ21</f>
        <v>-80761.578792930581</v>
      </c>
      <c r="AS40" s="592">
        <f>'Common Adj'!HY29</f>
        <v>-77043.065392313991</v>
      </c>
      <c r="AT40" s="592">
        <f>'Gas Adj'!H24</f>
        <v>8304.2007409900016</v>
      </c>
      <c r="AU40" s="592">
        <f>'Gas Adj'!Q31</f>
        <v>-1399288.2591356812</v>
      </c>
      <c r="AV40" s="598">
        <f t="shared" si="13"/>
        <v>-3296660.4821720519</v>
      </c>
      <c r="AW40" s="598">
        <f t="shared" si="14"/>
        <v>1173284.1518323175</v>
      </c>
      <c r="AX40" s="20">
        <v>-2347030.1750416788</v>
      </c>
    </row>
    <row r="41" spans="1:50" ht="14.4" x14ac:dyDescent="0.3">
      <c r="A41" s="245">
        <f t="shared" si="2"/>
        <v>29</v>
      </c>
      <c r="B41" s="25" t="s">
        <v>20</v>
      </c>
      <c r="C41" s="20">
        <v>-9558130.5899999961</v>
      </c>
      <c r="D41" s="597"/>
      <c r="E41" s="592"/>
      <c r="F41" s="592">
        <f>'Common Adj'!V15</f>
        <v>10081450.108688122</v>
      </c>
      <c r="G41" s="597">
        <f>+'Common Adj'!AD24</f>
        <v>0</v>
      </c>
      <c r="H41" s="592"/>
      <c r="I41" s="592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  <c r="W41" s="592"/>
      <c r="X41" s="592"/>
      <c r="Y41" s="593">
        <f t="shared" si="11"/>
        <v>10081450.108688122</v>
      </c>
      <c r="Z41" s="593">
        <f t="shared" si="12"/>
        <v>523319.51868812554</v>
      </c>
      <c r="AA41" s="592"/>
      <c r="AB41" s="592"/>
      <c r="AC41" s="592"/>
      <c r="AD41" s="592"/>
      <c r="AE41" s="592"/>
      <c r="AF41" s="592"/>
      <c r="AG41" s="592"/>
      <c r="AH41" s="592"/>
      <c r="AI41" s="592"/>
      <c r="AJ41" s="592"/>
      <c r="AK41" s="592"/>
      <c r="AL41" s="592"/>
      <c r="AM41" s="592"/>
      <c r="AN41" s="597"/>
      <c r="AO41" s="592"/>
      <c r="AP41" s="421">
        <f>'Common Adj'!HA20</f>
        <v>-722630.37767299998</v>
      </c>
      <c r="AQ41" s="592"/>
      <c r="AR41" s="592"/>
      <c r="AS41" s="592"/>
      <c r="AT41" s="592"/>
      <c r="AU41" s="592"/>
      <c r="AV41" s="593">
        <f t="shared" si="13"/>
        <v>-722630.37767299998</v>
      </c>
      <c r="AW41" s="593">
        <f t="shared" si="14"/>
        <v>-199310.85898487445</v>
      </c>
      <c r="AX41" s="20">
        <f>+AX40-AV40</f>
        <v>949630.30713037308</v>
      </c>
    </row>
    <row r="42" spans="1:50" ht="14.4" x14ac:dyDescent="0.3">
      <c r="A42" s="245">
        <f t="shared" si="2"/>
        <v>30</v>
      </c>
      <c r="B42" s="247" t="s">
        <v>21</v>
      </c>
      <c r="C42" s="13">
        <f t="shared" ref="C42:AD42" si="15">SUM(C25:C41)</f>
        <v>746883373.09999859</v>
      </c>
      <c r="D42" s="599">
        <f t="shared" si="15"/>
        <v>-44429565.756267637</v>
      </c>
      <c r="E42" s="13">
        <f>SUM(E25:E41)</f>
        <v>17657.160082056667</v>
      </c>
      <c r="F42" s="13">
        <f t="shared" si="15"/>
        <v>-1216418.5906954836</v>
      </c>
      <c r="G42" s="599">
        <f>SUM(G25:G41)</f>
        <v>-12916465.693796374</v>
      </c>
      <c r="H42" s="13">
        <f t="shared" si="15"/>
        <v>-61000154.13376648</v>
      </c>
      <c r="I42" s="13">
        <f t="shared" si="15"/>
        <v>1256319.1261336696</v>
      </c>
      <c r="J42" s="13">
        <f t="shared" si="15"/>
        <v>125428.75474144239</v>
      </c>
      <c r="K42" s="13">
        <f t="shared" si="15"/>
        <v>187098.30484735657</v>
      </c>
      <c r="L42" s="13">
        <f t="shared" si="15"/>
        <v>-69886.13058918016</v>
      </c>
      <c r="M42" s="13">
        <f t="shared" si="15"/>
        <v>-3831.0246199423614</v>
      </c>
      <c r="N42" s="13">
        <f t="shared" si="15"/>
        <v>204503.64267608413</v>
      </c>
      <c r="O42" s="13">
        <f t="shared" si="15"/>
        <v>438078.27529363008</v>
      </c>
      <c r="P42" s="13">
        <f t="shared" si="15"/>
        <v>770450.7474650637</v>
      </c>
      <c r="Q42" s="13">
        <f t="shared" si="15"/>
        <v>52646.119560989835</v>
      </c>
      <c r="R42" s="13">
        <f t="shared" si="15"/>
        <v>359399.40979334083</v>
      </c>
      <c r="S42" s="13">
        <f t="shared" si="15"/>
        <v>4190.3865716636919</v>
      </c>
      <c r="T42" s="13">
        <f t="shared" si="15"/>
        <v>10645.339606916785</v>
      </c>
      <c r="U42" s="13">
        <f t="shared" si="15"/>
        <v>0</v>
      </c>
      <c r="V42" s="13">
        <f t="shared" si="15"/>
        <v>9738307.6067664325</v>
      </c>
      <c r="W42" s="13">
        <f t="shared" ref="W42:X42" si="16">SUM(W25:W41)</f>
        <v>-520589.30140931718</v>
      </c>
      <c r="X42" s="13">
        <f t="shared" si="16"/>
        <v>0</v>
      </c>
      <c r="Y42" s="600">
        <f>SUM(Y25:Y41)</f>
        <v>-106992185.75760576</v>
      </c>
      <c r="Z42" s="600">
        <f>SUM(Z25:Z41)</f>
        <v>639891187.3423928</v>
      </c>
      <c r="AA42" s="13">
        <f t="shared" ref="AA42" si="17">SUM(AA25:AA41)</f>
        <v>-2410833.728319895</v>
      </c>
      <c r="AB42" s="13">
        <f>SUM(AB25:AB41)</f>
        <v>20255697.756902631</v>
      </c>
      <c r="AC42" s="13">
        <f>SUM(AC25:AC41)</f>
        <v>182704.31817000164</v>
      </c>
      <c r="AD42" s="13">
        <f t="shared" si="15"/>
        <v>69886.130589179898</v>
      </c>
      <c r="AE42" s="13">
        <f t="shared" ref="AE42:AU42" si="18">SUM(AE25:AE41)</f>
        <v>3831.0246199423614</v>
      </c>
      <c r="AF42" s="13">
        <f t="shared" si="18"/>
        <v>24480.220569124907</v>
      </c>
      <c r="AG42" s="13">
        <f t="shared" si="18"/>
        <v>1909978.0874022099</v>
      </c>
      <c r="AH42" s="13">
        <f t="shared" si="18"/>
        <v>92853.606337802761</v>
      </c>
      <c r="AI42" s="13">
        <f t="shared" si="18"/>
        <v>308531.66010436148</v>
      </c>
      <c r="AJ42" s="13">
        <f>SUM(AJ25:AJ41)</f>
        <v>-72647.038566666641</v>
      </c>
      <c r="AK42" s="13">
        <f t="shared" si="18"/>
        <v>676943.63053784647</v>
      </c>
      <c r="AL42" s="13">
        <f t="shared" si="18"/>
        <v>2990616.4492164613</v>
      </c>
      <c r="AM42" s="13">
        <f t="shared" si="18"/>
        <v>-134161.66059226336</v>
      </c>
      <c r="AN42" s="599">
        <f t="shared" si="18"/>
        <v>6475730.3914054362</v>
      </c>
      <c r="AO42" s="13">
        <f t="shared" si="18"/>
        <v>-344098.38920724997</v>
      </c>
      <c r="AP42" s="13">
        <f t="shared" si="18"/>
        <v>-722630.37767299998</v>
      </c>
      <c r="AQ42" s="13">
        <f t="shared" si="18"/>
        <v>128060.44049818032</v>
      </c>
      <c r="AR42" s="13">
        <f t="shared" si="18"/>
        <v>303817.36784007057</v>
      </c>
      <c r="AS42" s="13">
        <f t="shared" ref="AS42" si="19">SUM(AS25:AS41)</f>
        <v>289828.67457108601</v>
      </c>
      <c r="AT42" s="13">
        <f>SUM(AT30:AT41)</f>
        <v>-31239.612311343335</v>
      </c>
      <c r="AU42" s="13">
        <f t="shared" si="18"/>
        <v>-1716532.0047519379</v>
      </c>
      <c r="AV42" s="600">
        <f>SUM(AV25:AV41)</f>
        <v>28280816.947341975</v>
      </c>
      <c r="AW42" s="600">
        <f>SUM(AW25:AW41)</f>
        <v>668172004.28973508</v>
      </c>
    </row>
    <row r="43" spans="1:50" ht="14.4" x14ac:dyDescent="0.3">
      <c r="A43" s="245">
        <f t="shared" si="2"/>
        <v>31</v>
      </c>
      <c r="B43" s="25"/>
      <c r="C43" s="14"/>
      <c r="D43" s="603"/>
      <c r="E43" s="14"/>
      <c r="F43" s="14"/>
      <c r="G43" s="603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604"/>
      <c r="Z43" s="42"/>
      <c r="AA43" s="14"/>
      <c r="AB43" s="14"/>
      <c r="AC43" s="14"/>
      <c r="AD43" s="14">
        <f>+L43</f>
        <v>0</v>
      </c>
      <c r="AE43" s="14">
        <f>+M43</f>
        <v>0</v>
      </c>
      <c r="AF43" s="14"/>
      <c r="AG43" s="14"/>
      <c r="AH43" s="14"/>
      <c r="AI43" s="14"/>
      <c r="AJ43" s="14"/>
      <c r="AK43" s="14"/>
      <c r="AL43" s="14"/>
      <c r="AM43" s="14"/>
      <c r="AN43" s="603"/>
      <c r="AO43" s="14"/>
      <c r="AP43" s="14"/>
      <c r="AQ43" s="14"/>
      <c r="AR43" s="14"/>
      <c r="AS43" s="14"/>
      <c r="AT43" s="21"/>
      <c r="AU43" s="22"/>
      <c r="AV43" s="604"/>
      <c r="AW43" s="604"/>
    </row>
    <row r="44" spans="1:50" ht="15" thickBot="1" x14ac:dyDescent="0.35">
      <c r="A44" s="245">
        <f t="shared" si="2"/>
        <v>32</v>
      </c>
      <c r="B44" s="25" t="s">
        <v>22</v>
      </c>
      <c r="C44" s="605">
        <f t="shared" ref="C44:AD44" si="20">+C17-C42</f>
        <v>103864303.9900012</v>
      </c>
      <c r="D44" s="606">
        <f t="shared" si="20"/>
        <v>1442870.5294648185</v>
      </c>
      <c r="E44" s="605">
        <f>+E17-E42</f>
        <v>54148.18896761442</v>
      </c>
      <c r="F44" s="605">
        <f t="shared" si="20"/>
        <v>1216418.5906954836</v>
      </c>
      <c r="G44" s="606">
        <f>+G17-G42</f>
        <v>12916465.693796374</v>
      </c>
      <c r="H44" s="605">
        <f t="shared" si="20"/>
        <v>-1412118.6458149552</v>
      </c>
      <c r="I44" s="605">
        <f t="shared" si="20"/>
        <v>-1256319.1261336696</v>
      </c>
      <c r="J44" s="605">
        <f t="shared" si="20"/>
        <v>-125428.75474144239</v>
      </c>
      <c r="K44" s="605">
        <f t="shared" si="20"/>
        <v>-187098.30484735657</v>
      </c>
      <c r="L44" s="605">
        <f t="shared" si="20"/>
        <v>69886.13058918016</v>
      </c>
      <c r="M44" s="605">
        <f t="shared" si="20"/>
        <v>3831.0246199423614</v>
      </c>
      <c r="N44" s="605">
        <f t="shared" si="20"/>
        <v>-204503.64267608413</v>
      </c>
      <c r="O44" s="605">
        <f t="shared" si="20"/>
        <v>-438078.27529363008</v>
      </c>
      <c r="P44" s="605">
        <f t="shared" si="20"/>
        <v>-770450.7474650637</v>
      </c>
      <c r="Q44" s="605">
        <f t="shared" si="20"/>
        <v>-52646.119560989835</v>
      </c>
      <c r="R44" s="605">
        <f t="shared" si="20"/>
        <v>-359399.40979334083</v>
      </c>
      <c r="S44" s="605">
        <f t="shared" si="20"/>
        <v>-4190.3865716636919</v>
      </c>
      <c r="T44" s="605">
        <f t="shared" si="20"/>
        <v>-10645.339606916785</v>
      </c>
      <c r="U44" s="605">
        <f t="shared" si="20"/>
        <v>0</v>
      </c>
      <c r="V44" s="605">
        <f t="shared" si="20"/>
        <v>-9738307.6067664325</v>
      </c>
      <c r="W44" s="605">
        <f t="shared" si="20"/>
        <v>520589.30140931718</v>
      </c>
      <c r="X44" s="605">
        <f t="shared" ref="X44" si="21">+X17-X42</f>
        <v>0</v>
      </c>
      <c r="Y44" s="607">
        <f>+Y17-Y42</f>
        <v>1665023.1002711952</v>
      </c>
      <c r="Z44" s="607">
        <f>+Z17-Z42</f>
        <v>105529327.09027255</v>
      </c>
      <c r="AA44" s="605">
        <f t="shared" ref="AA44" si="22">+AA17-AA42</f>
        <v>-7393164.0016801059</v>
      </c>
      <c r="AB44" s="605">
        <f>+AB17-AB42</f>
        <v>12260525.139203645</v>
      </c>
      <c r="AC44" s="605">
        <f>+AC17-AC42</f>
        <v>-182704.31817000164</v>
      </c>
      <c r="AD44" s="605">
        <f t="shared" si="20"/>
        <v>-69886.130589179898</v>
      </c>
      <c r="AE44" s="605">
        <f t="shared" ref="AE44:AU44" si="23">+AE17-AE42</f>
        <v>-3831.0246199423614</v>
      </c>
      <c r="AF44" s="605">
        <f t="shared" si="23"/>
        <v>-24480.220569124907</v>
      </c>
      <c r="AG44" s="605">
        <f t="shared" si="23"/>
        <v>-1909978.0874022099</v>
      </c>
      <c r="AH44" s="605">
        <f t="shared" si="23"/>
        <v>-92853.606337802761</v>
      </c>
      <c r="AI44" s="605">
        <f t="shared" si="23"/>
        <v>-308531.66010436148</v>
      </c>
      <c r="AJ44" s="605">
        <f>+AJ17-AJ42</f>
        <v>72647.038566666641</v>
      </c>
      <c r="AK44" s="605">
        <f t="shared" si="23"/>
        <v>-676943.63053784647</v>
      </c>
      <c r="AL44" s="605">
        <f t="shared" si="23"/>
        <v>-2990616.4492164613</v>
      </c>
      <c r="AM44" s="605">
        <f t="shared" si="23"/>
        <v>134161.66059226336</v>
      </c>
      <c r="AN44" s="606">
        <f t="shared" si="23"/>
        <v>-6475730.3914054362</v>
      </c>
      <c r="AO44" s="605">
        <f t="shared" si="23"/>
        <v>344098.38920724997</v>
      </c>
      <c r="AP44" s="605">
        <f t="shared" si="23"/>
        <v>722630.37767299998</v>
      </c>
      <c r="AQ44" s="605">
        <f t="shared" si="23"/>
        <v>-128060.44049818032</v>
      </c>
      <c r="AR44" s="605">
        <f t="shared" si="23"/>
        <v>-303817.36784007057</v>
      </c>
      <c r="AS44" s="605">
        <f t="shared" ref="AS44" si="24">+AS17-AS42</f>
        <v>-289828.67457108601</v>
      </c>
      <c r="AT44" s="605">
        <f>AT25-AT42</f>
        <v>31239.612311343335</v>
      </c>
      <c r="AU44" s="605">
        <f t="shared" si="23"/>
        <v>-5263989.1653199438</v>
      </c>
      <c r="AV44" s="607">
        <f>+AV17-AV42</f>
        <v>-12549112.951307578</v>
      </c>
      <c r="AW44" s="607">
        <f>+AW17-AW42</f>
        <v>92980214.138964653</v>
      </c>
    </row>
    <row r="45" spans="1:50" ht="15" thickTop="1" x14ac:dyDescent="0.3">
      <c r="A45" s="245">
        <f t="shared" si="2"/>
        <v>33</v>
      </c>
      <c r="B45" s="608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Y45" s="609"/>
      <c r="Z45" s="37"/>
      <c r="AE45" s="23"/>
      <c r="AV45" s="37"/>
      <c r="AW45" s="37"/>
    </row>
    <row r="46" spans="1:50" s="12" customFormat="1" ht="14.4" x14ac:dyDescent="0.3">
      <c r="A46" s="245">
        <f t="shared" ref="A46:A62" si="25">A45+1</f>
        <v>34</v>
      </c>
      <c r="B46" s="247" t="s">
        <v>23</v>
      </c>
      <c r="C46" s="11">
        <f t="shared" ref="C46:AD46" si="26">C57</f>
        <v>1951252143.2591095</v>
      </c>
      <c r="D46" s="11">
        <f t="shared" si="26"/>
        <v>0</v>
      </c>
      <c r="E46" s="11">
        <f>E57</f>
        <v>0</v>
      </c>
      <c r="F46" s="11">
        <f t="shared" si="26"/>
        <v>0</v>
      </c>
      <c r="G46" s="11">
        <f t="shared" si="26"/>
        <v>0</v>
      </c>
      <c r="H46" s="11">
        <f t="shared" si="26"/>
        <v>0</v>
      </c>
      <c r="I46" s="11">
        <f t="shared" si="26"/>
        <v>0</v>
      </c>
      <c r="J46" s="11">
        <f t="shared" si="26"/>
        <v>0</v>
      </c>
      <c r="K46" s="11">
        <f t="shared" si="26"/>
        <v>0</v>
      </c>
      <c r="L46" s="11">
        <f t="shared" si="26"/>
        <v>0</v>
      </c>
      <c r="M46" s="11">
        <f t="shared" si="26"/>
        <v>0</v>
      </c>
      <c r="N46" s="11">
        <f t="shared" si="26"/>
        <v>0</v>
      </c>
      <c r="O46" s="11">
        <f t="shared" si="26"/>
        <v>0</v>
      </c>
      <c r="P46" s="11">
        <f t="shared" si="26"/>
        <v>0</v>
      </c>
      <c r="Q46" s="11">
        <f t="shared" si="26"/>
        <v>0</v>
      </c>
      <c r="R46" s="11">
        <f t="shared" si="26"/>
        <v>0</v>
      </c>
      <c r="S46" s="11">
        <f t="shared" si="26"/>
        <v>0</v>
      </c>
      <c r="T46" s="11">
        <f t="shared" si="26"/>
        <v>0</v>
      </c>
      <c r="U46" s="246">
        <f t="shared" si="26"/>
        <v>150665688.3308869</v>
      </c>
      <c r="V46" s="11">
        <f t="shared" si="26"/>
        <v>-9738307.6067664325</v>
      </c>
      <c r="W46" s="11">
        <f t="shared" si="26"/>
        <v>0</v>
      </c>
      <c r="X46" s="246">
        <f t="shared" si="26"/>
        <v>-105391.52511888376</v>
      </c>
      <c r="Y46" s="610">
        <f t="shared" si="26"/>
        <v>140821989.19900155</v>
      </c>
      <c r="Z46" s="610">
        <f t="shared" si="26"/>
        <v>2092074132.4581106</v>
      </c>
      <c r="AA46" s="11">
        <f t="shared" ref="AA46" si="27">AA57</f>
        <v>0</v>
      </c>
      <c r="AB46" s="11">
        <f>AB57</f>
        <v>0</v>
      </c>
      <c r="AC46" s="11">
        <f t="shared" si="26"/>
        <v>0</v>
      </c>
      <c r="AD46" s="11">
        <f t="shared" si="26"/>
        <v>0</v>
      </c>
      <c r="AE46" s="11">
        <f t="shared" ref="AE46:AW46" si="28">AE57</f>
        <v>0</v>
      </c>
      <c r="AF46" s="11">
        <f t="shared" si="28"/>
        <v>0</v>
      </c>
      <c r="AG46" s="11">
        <f t="shared" si="28"/>
        <v>0</v>
      </c>
      <c r="AH46" s="11">
        <f t="shared" si="28"/>
        <v>0</v>
      </c>
      <c r="AI46" s="11">
        <f t="shared" si="28"/>
        <v>0</v>
      </c>
      <c r="AJ46" s="11">
        <f>AJ57</f>
        <v>0</v>
      </c>
      <c r="AK46" s="11">
        <f t="shared" si="28"/>
        <v>0</v>
      </c>
      <c r="AL46" s="11">
        <f t="shared" si="28"/>
        <v>27075364.87814606</v>
      </c>
      <c r="AM46" s="11">
        <f t="shared" si="28"/>
        <v>0</v>
      </c>
      <c r="AN46" s="11">
        <f t="shared" si="28"/>
        <v>18429892.273602732</v>
      </c>
      <c r="AO46" s="11">
        <f t="shared" si="28"/>
        <v>0</v>
      </c>
      <c r="AP46" s="11">
        <f t="shared" si="28"/>
        <v>361315.18883649912</v>
      </c>
      <c r="AQ46" s="11">
        <f t="shared" si="28"/>
        <v>17461761.383451898</v>
      </c>
      <c r="AR46" s="11">
        <f t="shared" si="28"/>
        <v>0</v>
      </c>
      <c r="AS46" s="11">
        <f t="shared" ref="AS46:AT46" si="29">AS57</f>
        <v>2961814.0198504785</v>
      </c>
      <c r="AT46" s="11">
        <f t="shared" si="29"/>
        <v>-9327511.0024682488</v>
      </c>
      <c r="AU46" s="11">
        <f t="shared" si="28"/>
        <v>-6388043.7029168438</v>
      </c>
      <c r="AV46" s="38">
        <f t="shared" si="28"/>
        <v>50574593.038502574</v>
      </c>
      <c r="AW46" s="610">
        <f t="shared" si="28"/>
        <v>2142648725.4966133</v>
      </c>
    </row>
    <row r="47" spans="1:50" ht="14.4" x14ac:dyDescent="0.3">
      <c r="A47" s="245">
        <f t="shared" si="25"/>
        <v>35</v>
      </c>
      <c r="B47" s="25"/>
      <c r="G47" s="159"/>
      <c r="H47" s="159"/>
      <c r="X47" s="244"/>
      <c r="Y47" s="37"/>
      <c r="Z47" s="37"/>
      <c r="AV47" s="37"/>
      <c r="AW47" s="609"/>
    </row>
    <row r="48" spans="1:50" ht="14.4" x14ac:dyDescent="0.3">
      <c r="A48" s="245">
        <f t="shared" si="25"/>
        <v>36</v>
      </c>
      <c r="B48" s="247" t="s">
        <v>24</v>
      </c>
      <c r="C48" s="611">
        <f>+C44/C46</f>
        <v>5.3229565614477801E-2</v>
      </c>
      <c r="D48" s="592"/>
      <c r="E48" s="592"/>
      <c r="F48" s="592"/>
      <c r="G48" s="159"/>
      <c r="H48" s="159"/>
      <c r="I48" s="592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  <c r="W48" s="592"/>
      <c r="X48" s="597"/>
      <c r="Y48" s="593"/>
      <c r="Z48" s="612">
        <f>+Z44/Z46</f>
        <v>5.0442441523943247E-2</v>
      </c>
      <c r="AA48" s="592"/>
      <c r="AB48" s="592"/>
      <c r="AC48" s="592"/>
      <c r="AD48" s="592"/>
      <c r="AE48" s="592"/>
      <c r="AF48" s="592"/>
      <c r="AG48" s="592"/>
      <c r="AH48" s="592"/>
      <c r="AI48" s="592"/>
      <c r="AJ48" s="592"/>
      <c r="AK48" s="592"/>
      <c r="AL48" s="613" t="s">
        <v>569</v>
      </c>
      <c r="AM48" s="592"/>
      <c r="AN48" s="613" t="s">
        <v>569</v>
      </c>
      <c r="AO48" s="592"/>
      <c r="AP48" s="592"/>
      <c r="AQ48" s="592"/>
      <c r="AR48" s="592"/>
      <c r="AS48" s="592"/>
      <c r="AT48" s="592"/>
      <c r="AU48" s="592"/>
      <c r="AV48" s="593"/>
      <c r="AW48" s="612">
        <f>+AW44/AW46</f>
        <v>4.3394987256912182E-2</v>
      </c>
    </row>
    <row r="49" spans="1:49" ht="14.4" x14ac:dyDescent="0.3">
      <c r="A49" s="245">
        <f t="shared" si="25"/>
        <v>37</v>
      </c>
      <c r="B49" s="25"/>
      <c r="C49" s="592"/>
      <c r="D49" s="592"/>
      <c r="E49" s="592"/>
      <c r="F49" s="592"/>
      <c r="G49" s="159"/>
      <c r="H49" s="159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  <c r="W49" s="592"/>
      <c r="X49" s="597"/>
      <c r="Y49" s="593"/>
      <c r="Z49" s="593"/>
      <c r="AA49" s="592"/>
      <c r="AB49" s="592"/>
      <c r="AC49" s="592"/>
      <c r="AD49" s="592"/>
      <c r="AE49" s="592"/>
      <c r="AF49" s="592"/>
      <c r="AG49" s="592"/>
      <c r="AH49" s="592"/>
      <c r="AI49" s="592"/>
      <c r="AJ49" s="592"/>
      <c r="AK49" s="592"/>
      <c r="AL49" s="613" t="s">
        <v>570</v>
      </c>
      <c r="AM49" s="592"/>
      <c r="AN49" s="613" t="s">
        <v>570</v>
      </c>
      <c r="AO49" s="592"/>
      <c r="AP49" s="592"/>
      <c r="AQ49" s="592"/>
      <c r="AR49" s="592"/>
      <c r="AS49" s="592"/>
      <c r="AT49" s="592"/>
      <c r="AU49" s="592"/>
      <c r="AV49" s="593"/>
      <c r="AW49" s="593"/>
    </row>
    <row r="50" spans="1:49" ht="14.4" x14ac:dyDescent="0.3">
      <c r="A50" s="245">
        <f t="shared" si="25"/>
        <v>38</v>
      </c>
      <c r="B50" s="25" t="s">
        <v>25</v>
      </c>
      <c r="C50" s="592"/>
      <c r="D50" s="592"/>
      <c r="E50" s="592"/>
      <c r="F50" s="592"/>
      <c r="G50" s="592"/>
      <c r="H50" s="592"/>
      <c r="I50" s="592"/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  <c r="W50" s="592"/>
      <c r="X50" s="597"/>
      <c r="Y50" s="593"/>
      <c r="Z50" s="593"/>
      <c r="AA50" s="592"/>
      <c r="AB50" s="592"/>
      <c r="AC50" s="592"/>
      <c r="AD50" s="592"/>
      <c r="AE50" s="592"/>
      <c r="AF50" s="592"/>
      <c r="AG50" s="592"/>
      <c r="AH50" s="592"/>
      <c r="AI50" s="592"/>
      <c r="AJ50" s="592"/>
      <c r="AK50" s="592"/>
      <c r="AL50" s="592"/>
      <c r="AM50" s="592"/>
      <c r="AN50" s="592"/>
      <c r="AO50" s="592"/>
      <c r="AP50" s="592"/>
      <c r="AQ50" s="592"/>
      <c r="AR50" s="592"/>
      <c r="AS50" s="592"/>
      <c r="AT50" s="592"/>
      <c r="AU50" s="592"/>
      <c r="AV50" s="593"/>
      <c r="AW50" s="593"/>
    </row>
    <row r="51" spans="1:49" ht="14.4" x14ac:dyDescent="0.3">
      <c r="A51" s="245">
        <f t="shared" si="25"/>
        <v>39</v>
      </c>
      <c r="B51" s="614" t="s">
        <v>26</v>
      </c>
      <c r="C51" s="11">
        <v>4100600279.3772311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>
        <f>'Common Adj'!EM14</f>
        <v>200340092.80947351</v>
      </c>
      <c r="W51" s="11"/>
      <c r="X51" s="246">
        <f>+'Common Adj'!IE16</f>
        <v>-113323.24398580618</v>
      </c>
      <c r="Y51" s="610">
        <f t="shared" ref="Y51:Y56" si="30">SUM(D51:X51)</f>
        <v>200226769.56548771</v>
      </c>
      <c r="Z51" s="610">
        <f t="shared" ref="Z51:Z56" si="31">+Y51+C51</f>
        <v>4300827048.9427185</v>
      </c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>
        <f>+'Common Adj'!FU16</f>
        <v>29612613.959632117</v>
      </c>
      <c r="AM51" s="11">
        <f>+'Common Adj'!GC37</f>
        <v>0</v>
      </c>
      <c r="AN51" s="11">
        <f>'Common Adj'!GK16</f>
        <v>17042541.930183001</v>
      </c>
      <c r="AO51" s="11"/>
      <c r="AP51" s="11"/>
      <c r="AQ51" s="11">
        <f>+'Common Adj'!HI15</f>
        <v>17789424.770000003</v>
      </c>
      <c r="AR51" s="11"/>
      <c r="AS51" s="11">
        <f>'Common Adj'!HY16</f>
        <v>3668717.3996340004</v>
      </c>
      <c r="AT51" s="11">
        <f>'Gas Adj'!H15</f>
        <v>-9377979.3800000008</v>
      </c>
      <c r="AU51" s="11">
        <f>'Gas Adj'!Q37</f>
        <v>0</v>
      </c>
      <c r="AV51" s="610">
        <f t="shared" ref="AV51:AV56" si="32">SUM(AA51:AU51)</f>
        <v>58735318.679449119</v>
      </c>
      <c r="AW51" s="610">
        <f t="shared" ref="AW51:AW56" si="33">+AV51+Z51</f>
        <v>4359562367.6221676</v>
      </c>
    </row>
    <row r="52" spans="1:49" ht="14.4" x14ac:dyDescent="0.3">
      <c r="A52" s="245">
        <f t="shared" si="25"/>
        <v>40</v>
      </c>
      <c r="B52" s="614" t="s">
        <v>250</v>
      </c>
      <c r="C52" s="20">
        <v>-1569795173.3202429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>
        <f>'Common Adj'!EM15</f>
        <v>-55515781.67730689</v>
      </c>
      <c r="V52" s="20">
        <f>'Common Adj'!EU29</f>
        <v>-12326971.654134724</v>
      </c>
      <c r="W52" s="592"/>
      <c r="X52" s="597"/>
      <c r="Y52" s="593">
        <f>SUM(D52:X52)</f>
        <v>-67842753.331441611</v>
      </c>
      <c r="Z52" s="593">
        <f t="shared" si="31"/>
        <v>-1637637926.6516845</v>
      </c>
      <c r="AA52" s="592"/>
      <c r="AB52" s="592"/>
      <c r="AC52" s="592"/>
      <c r="AD52" s="592"/>
      <c r="AE52" s="592"/>
      <c r="AF52" s="592"/>
      <c r="AG52" s="592"/>
      <c r="AH52" s="592"/>
      <c r="AI52" s="592"/>
      <c r="AJ52" s="592"/>
      <c r="AK52" s="592"/>
      <c r="AL52" s="597">
        <f>+'Common Adj'!FU17</f>
        <v>-2033181.2664264913</v>
      </c>
      <c r="AM52" s="592">
        <f>+'Common Adj'!GC38</f>
        <v>0</v>
      </c>
      <c r="AN52" s="597">
        <f>'Common Adj'!GK17</f>
        <v>-6021196.191745243</v>
      </c>
      <c r="AO52" s="592"/>
      <c r="AP52" s="592"/>
      <c r="AQ52" s="11">
        <f>+'Common Adj'!HI16</f>
        <v>-250639.57850415158</v>
      </c>
      <c r="AR52" s="592"/>
      <c r="AS52" s="592">
        <f>'Common Adj'!HY17</f>
        <v>-504283.96518150007</v>
      </c>
      <c r="AT52" s="592">
        <f>'Gas Adj'!H16</f>
        <v>39543.813052333338</v>
      </c>
      <c r="AU52" s="11">
        <f>'Gas Adj'!Q38</f>
        <v>-5658425.3422582783</v>
      </c>
      <c r="AV52" s="598">
        <f t="shared" si="32"/>
        <v>-14428182.531063331</v>
      </c>
      <c r="AW52" s="598">
        <f t="shared" si="33"/>
        <v>-1652066109.1827478</v>
      </c>
    </row>
    <row r="53" spans="1:49" ht="14.4" x14ac:dyDescent="0.3">
      <c r="A53" s="245">
        <f t="shared" si="25"/>
        <v>41</v>
      </c>
      <c r="B53" s="25" t="s">
        <v>251</v>
      </c>
      <c r="C53" s="20">
        <v>-604032300.68879509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>
        <f>'Common Adj'!EM16</f>
        <v>3758546.0358800888</v>
      </c>
      <c r="V53" s="20">
        <f>'Common Adj'!EU30</f>
        <v>2588664.0473682922</v>
      </c>
      <c r="W53" s="592"/>
      <c r="X53" s="597">
        <f>+'Common Adj'!IE17</f>
        <v>7931.7188669224333</v>
      </c>
      <c r="Y53" s="598">
        <f t="shared" si="30"/>
        <v>6355141.8021153035</v>
      </c>
      <c r="Z53" s="598">
        <f t="shared" si="31"/>
        <v>-597677158.88667977</v>
      </c>
      <c r="AA53" s="592"/>
      <c r="AB53" s="592"/>
      <c r="AC53" s="592"/>
      <c r="AD53" s="592"/>
      <c r="AE53" s="592"/>
      <c r="AF53" s="592"/>
      <c r="AG53" s="592"/>
      <c r="AH53" s="592"/>
      <c r="AI53" s="592"/>
      <c r="AJ53" s="592"/>
      <c r="AK53" s="592"/>
      <c r="AL53" s="592">
        <f>+'Common Adj'!FU18+'Common Adj'!FU23</f>
        <v>-5273805.2398391496</v>
      </c>
      <c r="AM53" s="592">
        <f>+'Common Adj'!GC39</f>
        <v>0</v>
      </c>
      <c r="AN53" s="592">
        <f>'Common Adj'!GK18+'Common Adj'!GK24</f>
        <v>-2305807.6102975523</v>
      </c>
      <c r="AO53" s="592"/>
      <c r="AP53" s="592">
        <f>'Common Adj'!HA16</f>
        <v>361315.18883649912</v>
      </c>
      <c r="AQ53" s="592"/>
      <c r="AR53" s="592"/>
      <c r="AS53" s="592">
        <f>'Common Adj'!HY18</f>
        <v>-202619.41460202174</v>
      </c>
      <c r="AT53" s="592">
        <f>'Gas Adj'!H17</f>
        <v>10924.564479418335</v>
      </c>
      <c r="AU53" s="11">
        <f>'Gas Adj'!Q39</f>
        <v>-729618.36065856554</v>
      </c>
      <c r="AV53" s="593">
        <f t="shared" si="32"/>
        <v>-8139610.872081372</v>
      </c>
      <c r="AW53" s="593">
        <f t="shared" si="33"/>
        <v>-605816769.75876117</v>
      </c>
    </row>
    <row r="54" spans="1:49" ht="14.4" x14ac:dyDescent="0.3">
      <c r="A54" s="245">
        <f t="shared" si="25"/>
        <v>42</v>
      </c>
      <c r="B54" s="25" t="s">
        <v>252</v>
      </c>
      <c r="C54" s="20">
        <v>-29952462.162250079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>
        <f>'Common Adj'!EM17</f>
        <v>2958805.4567250796</v>
      </c>
      <c r="V54" s="20"/>
      <c r="W54" s="592"/>
      <c r="X54" s="597"/>
      <c r="Y54" s="593">
        <f t="shared" si="30"/>
        <v>2958805.4567250796</v>
      </c>
      <c r="Z54" s="593">
        <f t="shared" si="31"/>
        <v>-26993656.705525</v>
      </c>
      <c r="AA54" s="592"/>
      <c r="AB54" s="592"/>
      <c r="AC54" s="592"/>
      <c r="AD54" s="592"/>
      <c r="AE54" s="592"/>
      <c r="AF54" s="592"/>
      <c r="AG54" s="592"/>
      <c r="AH54" s="592"/>
      <c r="AI54" s="592"/>
      <c r="AJ54" s="592"/>
      <c r="AK54" s="592"/>
      <c r="AL54" s="592"/>
      <c r="AM54" s="592"/>
      <c r="AN54" s="592"/>
      <c r="AO54" s="592"/>
      <c r="AP54" s="592"/>
      <c r="AQ54" s="11">
        <f>+'Common Adj'!HI17</f>
        <v>-77023.80804395421</v>
      </c>
      <c r="AR54" s="592"/>
      <c r="AS54" s="592"/>
      <c r="AT54" s="592"/>
      <c r="AU54" s="592"/>
      <c r="AV54" s="598">
        <f t="shared" si="32"/>
        <v>-77023.80804395421</v>
      </c>
      <c r="AW54" s="598">
        <f t="shared" si="33"/>
        <v>-27070680.513568953</v>
      </c>
    </row>
    <row r="55" spans="1:49" ht="14.4" x14ac:dyDescent="0.3">
      <c r="A55" s="245">
        <f t="shared" si="25"/>
        <v>43</v>
      </c>
      <c r="B55" s="25" t="s">
        <v>30</v>
      </c>
      <c r="C55" s="20">
        <v>54431800.053166389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615">
        <f>'Common Adj'!EM18</f>
        <v>-875974.29388491809</v>
      </c>
      <c r="V55" s="20"/>
      <c r="W55" s="592"/>
      <c r="X55" s="597"/>
      <c r="Y55" s="616">
        <f t="shared" si="30"/>
        <v>-875974.29388491809</v>
      </c>
      <c r="Z55" s="598">
        <f t="shared" si="31"/>
        <v>53555825.759281471</v>
      </c>
      <c r="AA55" s="592"/>
      <c r="AB55" s="592"/>
      <c r="AC55" s="592"/>
      <c r="AD55" s="592"/>
      <c r="AE55" s="592"/>
      <c r="AF55" s="592"/>
      <c r="AG55" s="592"/>
      <c r="AH55" s="592"/>
      <c r="AI55" s="592"/>
      <c r="AJ55" s="592"/>
      <c r="AK55" s="592"/>
      <c r="AL55" s="592"/>
      <c r="AM55" s="592"/>
      <c r="AN55" s="592"/>
      <c r="AO55" s="592"/>
      <c r="AP55" s="592"/>
      <c r="AQ55" s="592"/>
      <c r="AR55" s="592"/>
      <c r="AS55" s="592"/>
      <c r="AT55" s="592"/>
      <c r="AU55" s="592"/>
      <c r="AV55" s="598">
        <f t="shared" si="32"/>
        <v>0</v>
      </c>
      <c r="AW55" s="598">
        <f t="shared" si="33"/>
        <v>53555825.759281471</v>
      </c>
    </row>
    <row r="56" spans="1:49" ht="14.4" x14ac:dyDescent="0.3">
      <c r="A56" s="245">
        <f t="shared" si="25"/>
        <v>44</v>
      </c>
      <c r="B56" s="25" t="s">
        <v>31</v>
      </c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592"/>
      <c r="X56" s="597"/>
      <c r="Y56" s="593">
        <f t="shared" si="30"/>
        <v>0</v>
      </c>
      <c r="Z56" s="593">
        <f t="shared" si="31"/>
        <v>0</v>
      </c>
      <c r="AA56" s="592"/>
      <c r="AB56" s="592"/>
      <c r="AC56" s="592"/>
      <c r="AD56" s="592"/>
      <c r="AE56" s="592"/>
      <c r="AF56" s="592"/>
      <c r="AG56" s="592"/>
      <c r="AH56" s="592"/>
      <c r="AI56" s="592"/>
      <c r="AJ56" s="592"/>
      <c r="AK56" s="592"/>
      <c r="AL56" s="597">
        <f>+'Common Adj'!FU21++'Common Adj'!FU22</f>
        <v>4769737.4247795846</v>
      </c>
      <c r="AM56" s="592"/>
      <c r="AN56" s="597">
        <f>'Common Adj'!GK22+'Common Adj'!GK23</f>
        <v>9714354.1454625297</v>
      </c>
      <c r="AO56" s="592"/>
      <c r="AP56" s="592"/>
      <c r="AQ56" s="592"/>
      <c r="AR56" s="592"/>
      <c r="AS56" s="592"/>
      <c r="AT56" s="592"/>
      <c r="AU56" s="592"/>
      <c r="AV56" s="598">
        <f t="shared" si="32"/>
        <v>14484091.570242114</v>
      </c>
      <c r="AW56" s="598">
        <f t="shared" si="33"/>
        <v>14484091.570242114</v>
      </c>
    </row>
    <row r="57" spans="1:49" ht="15" thickBot="1" x14ac:dyDescent="0.35">
      <c r="A57" s="245">
        <f t="shared" si="25"/>
        <v>45</v>
      </c>
      <c r="B57" s="25" t="s">
        <v>32</v>
      </c>
      <c r="C57" s="617">
        <f t="shared" ref="C57:AD57" si="34">SUM(C51:C56)</f>
        <v>1951252143.2591095</v>
      </c>
      <c r="D57" s="617">
        <f t="shared" si="34"/>
        <v>0</v>
      </c>
      <c r="E57" s="617">
        <f>SUM(E51:E56)</f>
        <v>0</v>
      </c>
      <c r="F57" s="617">
        <f t="shared" si="34"/>
        <v>0</v>
      </c>
      <c r="G57" s="617">
        <f t="shared" si="34"/>
        <v>0</v>
      </c>
      <c r="H57" s="617">
        <f t="shared" si="34"/>
        <v>0</v>
      </c>
      <c r="I57" s="617">
        <f t="shared" si="34"/>
        <v>0</v>
      </c>
      <c r="J57" s="617">
        <f t="shared" si="34"/>
        <v>0</v>
      </c>
      <c r="K57" s="617">
        <f t="shared" si="34"/>
        <v>0</v>
      </c>
      <c r="L57" s="617">
        <f t="shared" si="34"/>
        <v>0</v>
      </c>
      <c r="M57" s="617">
        <f t="shared" si="34"/>
        <v>0</v>
      </c>
      <c r="N57" s="617">
        <f t="shared" si="34"/>
        <v>0</v>
      </c>
      <c r="O57" s="617">
        <f t="shared" si="34"/>
        <v>0</v>
      </c>
      <c r="P57" s="617">
        <f t="shared" si="34"/>
        <v>0</v>
      </c>
      <c r="Q57" s="617">
        <f t="shared" si="34"/>
        <v>0</v>
      </c>
      <c r="R57" s="617">
        <f t="shared" si="34"/>
        <v>0</v>
      </c>
      <c r="S57" s="617">
        <f t="shared" si="34"/>
        <v>0</v>
      </c>
      <c r="T57" s="617">
        <f t="shared" si="34"/>
        <v>0</v>
      </c>
      <c r="U57" s="617">
        <f t="shared" si="34"/>
        <v>150665688.3308869</v>
      </c>
      <c r="V57" s="617">
        <f t="shared" si="34"/>
        <v>-9738307.6067664325</v>
      </c>
      <c r="W57" s="617">
        <f t="shared" ref="W57:X57" si="35">SUM(W51:W56)</f>
        <v>0</v>
      </c>
      <c r="X57" s="618">
        <f t="shared" si="35"/>
        <v>-105391.52511888376</v>
      </c>
      <c r="Y57" s="619">
        <f t="shared" si="34"/>
        <v>140821989.19900155</v>
      </c>
      <c r="Z57" s="619">
        <f t="shared" si="34"/>
        <v>2092074132.4581106</v>
      </c>
      <c r="AA57" s="617">
        <f t="shared" ref="AA57" si="36">SUM(AA51:AA56)</f>
        <v>0</v>
      </c>
      <c r="AB57" s="617">
        <f>SUM(AB51:AB56)</f>
        <v>0</v>
      </c>
      <c r="AC57" s="617">
        <f t="shared" si="34"/>
        <v>0</v>
      </c>
      <c r="AD57" s="617">
        <f t="shared" si="34"/>
        <v>0</v>
      </c>
      <c r="AE57" s="617">
        <f t="shared" ref="AE57:AW57" si="37">SUM(AE51:AE56)</f>
        <v>0</v>
      </c>
      <c r="AF57" s="617">
        <f t="shared" si="37"/>
        <v>0</v>
      </c>
      <c r="AG57" s="617">
        <f t="shared" si="37"/>
        <v>0</v>
      </c>
      <c r="AH57" s="617">
        <f t="shared" si="37"/>
        <v>0</v>
      </c>
      <c r="AI57" s="617">
        <f t="shared" si="37"/>
        <v>0</v>
      </c>
      <c r="AJ57" s="617">
        <f>SUM(AJ51:AJ56)</f>
        <v>0</v>
      </c>
      <c r="AK57" s="617">
        <f t="shared" si="37"/>
        <v>0</v>
      </c>
      <c r="AL57" s="617">
        <f t="shared" si="37"/>
        <v>27075364.87814606</v>
      </c>
      <c r="AM57" s="617">
        <f t="shared" si="37"/>
        <v>0</v>
      </c>
      <c r="AN57" s="617">
        <f t="shared" si="37"/>
        <v>18429892.273602732</v>
      </c>
      <c r="AO57" s="617">
        <f t="shared" si="37"/>
        <v>0</v>
      </c>
      <c r="AP57" s="617">
        <f t="shared" si="37"/>
        <v>361315.18883649912</v>
      </c>
      <c r="AQ57" s="617">
        <f t="shared" si="37"/>
        <v>17461761.383451898</v>
      </c>
      <c r="AR57" s="617">
        <f t="shared" si="37"/>
        <v>0</v>
      </c>
      <c r="AS57" s="617">
        <f t="shared" ref="AS57:AT57" si="38">SUM(AS51:AS56)</f>
        <v>2961814.0198504785</v>
      </c>
      <c r="AT57" s="617">
        <f t="shared" si="38"/>
        <v>-9327511.0024682488</v>
      </c>
      <c r="AU57" s="617">
        <f t="shared" si="37"/>
        <v>-6388043.7029168438</v>
      </c>
      <c r="AV57" s="620">
        <f t="shared" si="37"/>
        <v>50574593.038502574</v>
      </c>
      <c r="AW57" s="619">
        <f t="shared" si="37"/>
        <v>2142648725.4966133</v>
      </c>
    </row>
    <row r="58" spans="1:49" ht="15" thickTop="1" thickBot="1" x14ac:dyDescent="0.3">
      <c r="A58" s="245">
        <f t="shared" si="25"/>
        <v>46</v>
      </c>
      <c r="C58" s="43">
        <v>0</v>
      </c>
      <c r="G58" s="8" t="s">
        <v>240</v>
      </c>
      <c r="Y58" s="37"/>
      <c r="Z58" s="37"/>
      <c r="AV58" s="37"/>
      <c r="AW58" s="37"/>
    </row>
    <row r="59" spans="1:49" ht="14.4" thickBot="1" x14ac:dyDescent="0.3">
      <c r="A59" s="245">
        <f t="shared" si="25"/>
        <v>47</v>
      </c>
      <c r="B59" s="25" t="s">
        <v>155</v>
      </c>
      <c r="C59" s="24">
        <f>+'COC, Def, ConvF'!$C$13</f>
        <v>7.4399999999999994E-2</v>
      </c>
      <c r="D59" s="24">
        <f>+'COC, Def, ConvF'!$C$13</f>
        <v>7.4399999999999994E-2</v>
      </c>
      <c r="E59" s="24">
        <f>+'COC, Def, ConvF'!$C$13</f>
        <v>7.4399999999999994E-2</v>
      </c>
      <c r="F59" s="24">
        <f>+'COC, Def, ConvF'!$C$13</f>
        <v>7.4399999999999994E-2</v>
      </c>
      <c r="G59" s="621">
        <f>+'COC-Restating'!E13</f>
        <v>7.5999999999999998E-2</v>
      </c>
      <c r="H59" s="24">
        <f>+'COC, Def, ConvF'!$C$13</f>
        <v>7.4399999999999994E-2</v>
      </c>
      <c r="I59" s="24">
        <f>+'COC, Def, ConvF'!$C$13</f>
        <v>7.4399999999999994E-2</v>
      </c>
      <c r="J59" s="24">
        <f>+'COC, Def, ConvF'!$C$13</f>
        <v>7.4399999999999994E-2</v>
      </c>
      <c r="K59" s="24">
        <f>+'COC, Def, ConvF'!$C$13</f>
        <v>7.4399999999999994E-2</v>
      </c>
      <c r="L59" s="24">
        <f>+'COC, Def, ConvF'!$C$13</f>
        <v>7.4399999999999994E-2</v>
      </c>
      <c r="M59" s="24">
        <f>+'COC, Def, ConvF'!$C$13</f>
        <v>7.4399999999999994E-2</v>
      </c>
      <c r="N59" s="24">
        <f>+'COC, Def, ConvF'!$C$13</f>
        <v>7.4399999999999994E-2</v>
      </c>
      <c r="O59" s="24">
        <f>+'COC, Def, ConvF'!$C$13</f>
        <v>7.4399999999999994E-2</v>
      </c>
      <c r="P59" s="24">
        <f>+'COC, Def, ConvF'!$C$13</f>
        <v>7.4399999999999994E-2</v>
      </c>
      <c r="Q59" s="24">
        <f>+'COC, Def, ConvF'!$C$13</f>
        <v>7.4399999999999994E-2</v>
      </c>
      <c r="R59" s="24">
        <f>+'COC, Def, ConvF'!$C$13</f>
        <v>7.4399999999999994E-2</v>
      </c>
      <c r="S59" s="24">
        <f>+'COC, Def, ConvF'!$C$13</f>
        <v>7.4399999999999994E-2</v>
      </c>
      <c r="T59" s="24">
        <f>+'COC, Def, ConvF'!$C$13</f>
        <v>7.4399999999999994E-2</v>
      </c>
      <c r="U59" s="24">
        <f>+'COC, Def, ConvF'!$C$13</f>
        <v>7.4399999999999994E-2</v>
      </c>
      <c r="V59" s="24">
        <f>+'COC, Def, ConvF'!$C$13</f>
        <v>7.4399999999999994E-2</v>
      </c>
      <c r="W59" s="24">
        <f>+'COC, Def, ConvF'!$C$13</f>
        <v>7.4399999999999994E-2</v>
      </c>
      <c r="X59" s="24">
        <f>+'COC, Def, ConvF'!$C$13</f>
        <v>7.4399999999999994E-2</v>
      </c>
      <c r="Y59" s="622">
        <f>+'COC, Def, ConvF'!$C$13</f>
        <v>7.4399999999999994E-2</v>
      </c>
      <c r="Z59" s="622">
        <f>+'COC, Def, ConvF'!$C$13</f>
        <v>7.4399999999999994E-2</v>
      </c>
      <c r="AA59" s="24">
        <f>+'COC, Def, ConvF'!$C$13</f>
        <v>7.4399999999999994E-2</v>
      </c>
      <c r="AB59" s="24">
        <f>+'COC, Def, ConvF'!$C$13</f>
        <v>7.4399999999999994E-2</v>
      </c>
      <c r="AC59" s="24">
        <f>+'COC, Def, ConvF'!$C$13</f>
        <v>7.4399999999999994E-2</v>
      </c>
      <c r="AD59" s="24">
        <f>+'COC, Def, ConvF'!$C$13</f>
        <v>7.4399999999999994E-2</v>
      </c>
      <c r="AE59" s="24">
        <f>+'COC, Def, ConvF'!$C$13</f>
        <v>7.4399999999999994E-2</v>
      </c>
      <c r="AF59" s="24">
        <f>+'COC, Def, ConvF'!$C$13</f>
        <v>7.4399999999999994E-2</v>
      </c>
      <c r="AG59" s="24">
        <f>+'COC, Def, ConvF'!$C$13</f>
        <v>7.4399999999999994E-2</v>
      </c>
      <c r="AH59" s="24">
        <f>+'COC, Def, ConvF'!$C$13</f>
        <v>7.4399999999999994E-2</v>
      </c>
      <c r="AI59" s="24">
        <f>+'COC, Def, ConvF'!$C$13</f>
        <v>7.4399999999999994E-2</v>
      </c>
      <c r="AJ59" s="24">
        <f>+'COC, Def, ConvF'!$C$13</f>
        <v>7.4399999999999994E-2</v>
      </c>
      <c r="AK59" s="24">
        <f>+'COC, Def, ConvF'!$C$13</f>
        <v>7.4399999999999994E-2</v>
      </c>
      <c r="AL59" s="24">
        <f>+'COC, Def, ConvF'!$C$13</f>
        <v>7.4399999999999994E-2</v>
      </c>
      <c r="AM59" s="24">
        <f>+'COC, Def, ConvF'!$C$13</f>
        <v>7.4399999999999994E-2</v>
      </c>
      <c r="AN59" s="24">
        <f>+'COC, Def, ConvF'!$C$13</f>
        <v>7.4399999999999994E-2</v>
      </c>
      <c r="AO59" s="24">
        <f>+'COC, Def, ConvF'!$C$13</f>
        <v>7.4399999999999994E-2</v>
      </c>
      <c r="AP59" s="24">
        <f>+'COC, Def, ConvF'!$C$13</f>
        <v>7.4399999999999994E-2</v>
      </c>
      <c r="AQ59" s="24">
        <f>+'COC, Def, ConvF'!$C$13</f>
        <v>7.4399999999999994E-2</v>
      </c>
      <c r="AR59" s="24">
        <f>+'COC, Def, ConvF'!$C$13</f>
        <v>7.4399999999999994E-2</v>
      </c>
      <c r="AS59" s="24">
        <f>+'COC, Def, ConvF'!$C$13</f>
        <v>7.4399999999999994E-2</v>
      </c>
      <c r="AT59" s="24">
        <f>+'COC, Def, ConvF'!$C$13</f>
        <v>7.4399999999999994E-2</v>
      </c>
      <c r="AU59" s="24">
        <f>+'COC, Def, ConvF'!$C$13</f>
        <v>7.4399999999999994E-2</v>
      </c>
      <c r="AV59" s="622">
        <f>+'COC, Def, ConvF'!$C$13</f>
        <v>7.4399999999999994E-2</v>
      </c>
      <c r="AW59" s="622">
        <f>+'COC, Def, ConvF'!$C$13</f>
        <v>7.4399999999999994E-2</v>
      </c>
    </row>
    <row r="60" spans="1:49" x14ac:dyDescent="0.25">
      <c r="A60" s="245">
        <f t="shared" si="25"/>
        <v>48</v>
      </c>
      <c r="B60" s="25" t="s">
        <v>176</v>
      </c>
      <c r="C60" s="7">
        <f>+'COC, Def, ConvF'!$M$20</f>
        <v>0.75409700000000002</v>
      </c>
      <c r="D60" s="7">
        <f>+'COC, Def, ConvF'!$M$20</f>
        <v>0.75409700000000002</v>
      </c>
      <c r="E60" s="7">
        <f>+'COC, Def, ConvF'!$M$20</f>
        <v>0.75409700000000002</v>
      </c>
      <c r="F60" s="7">
        <f>+'COC, Def, ConvF'!$M$20</f>
        <v>0.75409700000000002</v>
      </c>
      <c r="G60" s="7">
        <f>+'COC, Def, ConvF'!$M$20</f>
        <v>0.75409700000000002</v>
      </c>
      <c r="H60" s="7">
        <f>+'COC, Def, ConvF'!$M$20</f>
        <v>0.75409700000000002</v>
      </c>
      <c r="I60" s="7">
        <f>+'COC, Def, ConvF'!$M$20</f>
        <v>0.75409700000000002</v>
      </c>
      <c r="J60" s="7">
        <f>+'COC, Def, ConvF'!$M$20</f>
        <v>0.75409700000000002</v>
      </c>
      <c r="K60" s="7">
        <f>+'COC, Def, ConvF'!$M$20</f>
        <v>0.75409700000000002</v>
      </c>
      <c r="L60" s="7">
        <f>+'COC, Def, ConvF'!$M$20</f>
        <v>0.75409700000000002</v>
      </c>
      <c r="M60" s="7">
        <f>+'COC, Def, ConvF'!$M$20</f>
        <v>0.75409700000000002</v>
      </c>
      <c r="N60" s="7">
        <f>+'COC, Def, ConvF'!$M$20</f>
        <v>0.75409700000000002</v>
      </c>
      <c r="O60" s="7">
        <f>+'COC, Def, ConvF'!$M$20</f>
        <v>0.75409700000000002</v>
      </c>
      <c r="P60" s="7">
        <f>+'COC, Def, ConvF'!$M$20</f>
        <v>0.75409700000000002</v>
      </c>
      <c r="Q60" s="7">
        <f>+'COC, Def, ConvF'!$M$20</f>
        <v>0.75409700000000002</v>
      </c>
      <c r="R60" s="7">
        <f>+'COC, Def, ConvF'!$M$20</f>
        <v>0.75409700000000002</v>
      </c>
      <c r="S60" s="7">
        <f>+'COC, Def, ConvF'!$M$20</f>
        <v>0.75409700000000002</v>
      </c>
      <c r="T60" s="7">
        <f>+'COC, Def, ConvF'!$M$20</f>
        <v>0.75409700000000002</v>
      </c>
      <c r="U60" s="7">
        <f>+'COC, Def, ConvF'!$M$20</f>
        <v>0.75409700000000002</v>
      </c>
      <c r="V60" s="7">
        <f>+'COC, Def, ConvF'!$M$20</f>
        <v>0.75409700000000002</v>
      </c>
      <c r="W60" s="7">
        <f>+'COC, Def, ConvF'!$M$20</f>
        <v>0.75409700000000002</v>
      </c>
      <c r="X60" s="7">
        <f>+'COC, Def, ConvF'!$M$20</f>
        <v>0.75409700000000002</v>
      </c>
      <c r="Y60" s="37">
        <f>+'COC, Def, ConvF'!$M$20</f>
        <v>0.75409700000000002</v>
      </c>
      <c r="Z60" s="37">
        <f>+'COC, Def, ConvF'!$M$20</f>
        <v>0.75409700000000002</v>
      </c>
      <c r="AA60" s="7">
        <f>+'COC, Def, ConvF'!$M$20</f>
        <v>0.75409700000000002</v>
      </c>
      <c r="AB60" s="7">
        <f>+'COC, Def, ConvF'!$M$20</f>
        <v>0.75409700000000002</v>
      </c>
      <c r="AC60" s="7">
        <f>+'COC, Def, ConvF'!$M$20</f>
        <v>0.75409700000000002</v>
      </c>
      <c r="AD60" s="7">
        <f>+'COC, Def, ConvF'!$M$20</f>
        <v>0.75409700000000002</v>
      </c>
      <c r="AE60" s="7">
        <f>+'COC, Def, ConvF'!$M$20</f>
        <v>0.75409700000000002</v>
      </c>
      <c r="AF60" s="7">
        <f>+'COC, Def, ConvF'!$M$20</f>
        <v>0.75409700000000002</v>
      </c>
      <c r="AG60" s="7">
        <f>+'COC, Def, ConvF'!$M$20</f>
        <v>0.75409700000000002</v>
      </c>
      <c r="AH60" s="7">
        <f>+'COC, Def, ConvF'!$M$20</f>
        <v>0.75409700000000002</v>
      </c>
      <c r="AI60" s="7">
        <f>+'COC, Def, ConvF'!$M$20</f>
        <v>0.75409700000000002</v>
      </c>
      <c r="AJ60" s="7">
        <f>+'COC, Def, ConvF'!$M$20</f>
        <v>0.75409700000000002</v>
      </c>
      <c r="AK60" s="7">
        <f>+'COC, Def, ConvF'!$M$20</f>
        <v>0.75409700000000002</v>
      </c>
      <c r="AL60" s="7">
        <f>+'COC, Def, ConvF'!$M$20</f>
        <v>0.75409700000000002</v>
      </c>
      <c r="AM60" s="7">
        <f>+'COC, Def, ConvF'!$M$20</f>
        <v>0.75409700000000002</v>
      </c>
      <c r="AN60" s="7">
        <f>+'COC, Def, ConvF'!$M$20</f>
        <v>0.75409700000000002</v>
      </c>
      <c r="AO60" s="7">
        <f>+'COC, Def, ConvF'!$M$20</f>
        <v>0.75409700000000002</v>
      </c>
      <c r="AP60" s="7">
        <f>+'COC, Def, ConvF'!$M$20</f>
        <v>0.75409700000000002</v>
      </c>
      <c r="AQ60" s="7">
        <f>+'COC, Def, ConvF'!$M$20</f>
        <v>0.75409700000000002</v>
      </c>
      <c r="AR60" s="7">
        <f>+'COC, Def, ConvF'!$M$20</f>
        <v>0.75409700000000002</v>
      </c>
      <c r="AS60" s="7">
        <f>+'COC, Def, ConvF'!$M$20</f>
        <v>0.75409700000000002</v>
      </c>
      <c r="AT60" s="7">
        <f>+'COC, Def, ConvF'!$M$20</f>
        <v>0.75409700000000002</v>
      </c>
      <c r="AU60" s="7">
        <f>+'COC, Def, ConvF'!$M$20</f>
        <v>0.75409700000000002</v>
      </c>
      <c r="AV60" s="37">
        <f>+'COC, Def, ConvF'!$M$20</f>
        <v>0.75409700000000002</v>
      </c>
      <c r="AW60" s="37">
        <f>+'COC, Def, ConvF'!$M$20</f>
        <v>0.75409700000000002</v>
      </c>
    </row>
    <row r="61" spans="1:49" x14ac:dyDescent="0.25">
      <c r="A61" s="245">
        <f t="shared" si="25"/>
        <v>49</v>
      </c>
      <c r="B61" s="25" t="s">
        <v>177</v>
      </c>
      <c r="C61" s="12">
        <f t="shared" ref="C61:AD61" si="39">+C44-(C57*C59)</f>
        <v>-41308855.468476534</v>
      </c>
      <c r="D61" s="12">
        <f t="shared" si="39"/>
        <v>1442870.5294648185</v>
      </c>
      <c r="E61" s="12">
        <f>+E44-(E57*E59)</f>
        <v>54148.18896761442</v>
      </c>
      <c r="F61" s="12">
        <f t="shared" si="39"/>
        <v>1216418.5906954836</v>
      </c>
      <c r="G61" s="12">
        <f>+G44-(G57*G59)</f>
        <v>12916465.693796374</v>
      </c>
      <c r="H61" s="12">
        <f t="shared" si="39"/>
        <v>-1412118.6458149552</v>
      </c>
      <c r="I61" s="12">
        <f t="shared" si="39"/>
        <v>-1256319.1261336696</v>
      </c>
      <c r="J61" s="12">
        <f t="shared" si="39"/>
        <v>-125428.75474144239</v>
      </c>
      <c r="K61" s="12">
        <f t="shared" si="39"/>
        <v>-187098.30484735657</v>
      </c>
      <c r="L61" s="12">
        <f t="shared" si="39"/>
        <v>69886.13058918016</v>
      </c>
      <c r="M61" s="12">
        <f t="shared" si="39"/>
        <v>3831.0246199423614</v>
      </c>
      <c r="N61" s="12">
        <f t="shared" si="39"/>
        <v>-204503.64267608413</v>
      </c>
      <c r="O61" s="12">
        <f t="shared" si="39"/>
        <v>-438078.27529363008</v>
      </c>
      <c r="P61" s="12">
        <f t="shared" si="39"/>
        <v>-770450.7474650637</v>
      </c>
      <c r="Q61" s="12">
        <f t="shared" si="39"/>
        <v>-52646.119560989835</v>
      </c>
      <c r="R61" s="12">
        <f t="shared" si="39"/>
        <v>-359399.40979334083</v>
      </c>
      <c r="S61" s="12">
        <f t="shared" si="39"/>
        <v>-4190.3865716636919</v>
      </c>
      <c r="T61" s="12">
        <f t="shared" si="39"/>
        <v>-10645.339606916785</v>
      </c>
      <c r="U61" s="12">
        <f t="shared" si="39"/>
        <v>-11209527.211817985</v>
      </c>
      <c r="V61" s="12">
        <f t="shared" si="39"/>
        <v>-9013777.5208230093</v>
      </c>
      <c r="W61" s="12">
        <f t="shared" si="39"/>
        <v>520589.30140931718</v>
      </c>
      <c r="X61" s="12">
        <f t="shared" ref="X61" si="40">+X44-(X57*X59)</f>
        <v>7841.1294688449507</v>
      </c>
      <c r="Y61" s="593">
        <f>+Y44-(Y57*Y59)</f>
        <v>-8812132.8961345199</v>
      </c>
      <c r="Z61" s="593">
        <f>+Z44-(Z57*Z59)</f>
        <v>-50120988.364610881</v>
      </c>
      <c r="AA61" s="12">
        <f t="shared" ref="AA61" si="41">+AA44-(AA57*AA59)</f>
        <v>-7393164.0016801059</v>
      </c>
      <c r="AB61" s="12">
        <f>+AB44-(AB57*AB59)</f>
        <v>12260525.139203645</v>
      </c>
      <c r="AC61" s="12">
        <f>+AC44-(AC57*AC59)</f>
        <v>-182704.31817000164</v>
      </c>
      <c r="AD61" s="12">
        <f t="shared" si="39"/>
        <v>-69886.130589179898</v>
      </c>
      <c r="AE61" s="12">
        <f t="shared" ref="AE61:AU61" si="42">+AE44-(AE57*AE59)</f>
        <v>-3831.0246199423614</v>
      </c>
      <c r="AF61" s="12">
        <f t="shared" si="42"/>
        <v>-24480.220569124907</v>
      </c>
      <c r="AG61" s="12">
        <f t="shared" si="42"/>
        <v>-1909978.0874022099</v>
      </c>
      <c r="AH61" s="12">
        <f t="shared" si="42"/>
        <v>-92853.606337802761</v>
      </c>
      <c r="AI61" s="12">
        <f t="shared" si="42"/>
        <v>-308531.66010436148</v>
      </c>
      <c r="AJ61" s="12">
        <f>+AJ44-(AJ57*AJ59)</f>
        <v>72647.038566666641</v>
      </c>
      <c r="AK61" s="12">
        <f t="shared" si="42"/>
        <v>-676943.63053784647</v>
      </c>
      <c r="AL61" s="12">
        <f t="shared" si="42"/>
        <v>-5005023.5961505277</v>
      </c>
      <c r="AM61" s="12">
        <f t="shared" si="42"/>
        <v>134161.66059226336</v>
      </c>
      <c r="AN61" s="12">
        <f t="shared" si="42"/>
        <v>-7846914.3765614796</v>
      </c>
      <c r="AO61" s="12">
        <f t="shared" si="42"/>
        <v>344098.38920724997</v>
      </c>
      <c r="AP61" s="12">
        <f t="shared" si="42"/>
        <v>695748.52762356447</v>
      </c>
      <c r="AQ61" s="12">
        <f t="shared" si="42"/>
        <v>-1427215.4874270014</v>
      </c>
      <c r="AR61" s="12">
        <f t="shared" si="42"/>
        <v>-303817.36784007057</v>
      </c>
      <c r="AS61" s="12">
        <f t="shared" ref="AS61:AT61" si="43">+AS44-(AS57*AS59)</f>
        <v>-510187.63764796162</v>
      </c>
      <c r="AT61" s="12">
        <f t="shared" si="43"/>
        <v>725206.43089498102</v>
      </c>
      <c r="AU61" s="12">
        <f t="shared" si="42"/>
        <v>-4788718.7138229311</v>
      </c>
      <c r="AV61" s="593">
        <f>+AV44-(AV57*AV59)</f>
        <v>-16311862.673372168</v>
      </c>
      <c r="AW61" s="593">
        <f>+AW44-(AW57*AW59)</f>
        <v>-66432851.037983358</v>
      </c>
    </row>
    <row r="62" spans="1:49" x14ac:dyDescent="0.25">
      <c r="A62" s="245">
        <f t="shared" si="25"/>
        <v>50</v>
      </c>
      <c r="B62" s="25" t="s">
        <v>178</v>
      </c>
      <c r="C62" s="12">
        <f t="shared" ref="C62:AD62" si="44">-C61/C60</f>
        <v>54779233.266378902</v>
      </c>
      <c r="D62" s="12">
        <f t="shared" si="44"/>
        <v>-1913375.241467369</v>
      </c>
      <c r="E62" s="12">
        <f>-E61/E60</f>
        <v>-71805.336671030935</v>
      </c>
      <c r="F62" s="12">
        <f t="shared" si="44"/>
        <v>-1613079.7373487544</v>
      </c>
      <c r="G62" s="12">
        <f>-G61/G60</f>
        <v>-17128387.586472794</v>
      </c>
      <c r="H62" s="12">
        <f t="shared" si="44"/>
        <v>1872595.496089966</v>
      </c>
      <c r="I62" s="12">
        <f t="shared" si="44"/>
        <v>1665991.4124226321</v>
      </c>
      <c r="J62" s="12">
        <f t="shared" si="44"/>
        <v>166329.73575208811</v>
      </c>
      <c r="K62" s="12">
        <f t="shared" si="44"/>
        <v>248109.06932046748</v>
      </c>
      <c r="L62" s="12">
        <f t="shared" si="44"/>
        <v>-92675.2534344788</v>
      </c>
      <c r="M62" s="12">
        <f t="shared" si="44"/>
        <v>-5080.2809452130978</v>
      </c>
      <c r="N62" s="12">
        <f t="shared" si="44"/>
        <v>271190.10243520944</v>
      </c>
      <c r="O62" s="12">
        <f t="shared" si="44"/>
        <v>580930.93500389217</v>
      </c>
      <c r="P62" s="12">
        <f t="shared" si="44"/>
        <v>1021686.5303337153</v>
      </c>
      <c r="Q62" s="12">
        <f t="shared" si="44"/>
        <v>69813.458429074555</v>
      </c>
      <c r="R62" s="12">
        <f t="shared" si="44"/>
        <v>476595.72945302899</v>
      </c>
      <c r="S62" s="12">
        <f t="shared" si="44"/>
        <v>5556.8270019157908</v>
      </c>
      <c r="T62" s="12">
        <f t="shared" si="44"/>
        <v>14116.671471862088</v>
      </c>
      <c r="U62" s="12">
        <f t="shared" si="44"/>
        <v>14864834.645699406</v>
      </c>
      <c r="V62" s="12">
        <f t="shared" si="44"/>
        <v>11953074.366855999</v>
      </c>
      <c r="W62" s="12">
        <f t="shared" si="44"/>
        <v>-690347.92793144274</v>
      </c>
      <c r="X62" s="12">
        <f t="shared" ref="X62" si="45">-X61/X60</f>
        <v>-10398.038274711278</v>
      </c>
      <c r="Y62" s="44">
        <f>-Y61/Y60</f>
        <v>11685675.577723449</v>
      </c>
      <c r="Z62" s="44">
        <f>-Z61/Z60</f>
        <v>66464908.844102122</v>
      </c>
      <c r="AA62" s="12">
        <f t="shared" ref="AA62" si="46">-AA61/AA60</f>
        <v>9803996.0398729946</v>
      </c>
      <c r="AB62" s="12">
        <f>-AB61/AB60</f>
        <v>-16258551.803287435</v>
      </c>
      <c r="AC62" s="12">
        <f>-AC61/AC60</f>
        <v>242282.25038688874</v>
      </c>
      <c r="AD62" s="12">
        <f t="shared" si="44"/>
        <v>92675.253434478451</v>
      </c>
      <c r="AE62" s="12">
        <f t="shared" ref="AE62:AU62" si="47">-AE61/AE60</f>
        <v>5080.2809452130978</v>
      </c>
      <c r="AF62" s="12">
        <f t="shared" si="47"/>
        <v>32462.959763962601</v>
      </c>
      <c r="AG62" s="12">
        <f t="shared" si="47"/>
        <v>2532801.5990014677</v>
      </c>
      <c r="AH62" s="12">
        <f t="shared" si="47"/>
        <v>123132.17840384295</v>
      </c>
      <c r="AI62" s="12">
        <f t="shared" si="47"/>
        <v>409140.54837025137</v>
      </c>
      <c r="AJ62" s="12">
        <f>-AJ61/AJ60</f>
        <v>-96336.464097677934</v>
      </c>
      <c r="AK62" s="12">
        <f t="shared" si="47"/>
        <v>897687.73849762895</v>
      </c>
      <c r="AL62" s="12">
        <f t="shared" si="47"/>
        <v>6637108.4835910071</v>
      </c>
      <c r="AM62" s="12">
        <f t="shared" si="47"/>
        <v>-177910.34918884886</v>
      </c>
      <c r="AN62" s="12">
        <f t="shared" si="47"/>
        <v>10405709.57922055</v>
      </c>
      <c r="AO62" s="12">
        <f t="shared" si="47"/>
        <v>-456305.20902118686</v>
      </c>
      <c r="AP62" s="12">
        <f t="shared" si="47"/>
        <v>-922624.71223670756</v>
      </c>
      <c r="AQ62" s="12">
        <f t="shared" si="47"/>
        <v>1892615.2569589871</v>
      </c>
      <c r="AR62" s="12">
        <f t="shared" si="47"/>
        <v>402888.97560933215</v>
      </c>
      <c r="AS62" s="12">
        <f t="shared" ref="AS62:AT62" si="48">-AS61/AS60</f>
        <v>676554.39240304846</v>
      </c>
      <c r="AT62" s="12">
        <f t="shared" si="48"/>
        <v>-961688.52401611593</v>
      </c>
      <c r="AU62" s="12">
        <f t="shared" si="47"/>
        <v>6350268.8829460014</v>
      </c>
      <c r="AV62" s="44">
        <f>-AV61/AV60</f>
        <v>21630987.357557673</v>
      </c>
      <c r="AW62" s="44">
        <f>-AW61/AW60</f>
        <v>88095896.201660201</v>
      </c>
    </row>
    <row r="63" spans="1:49" x14ac:dyDescent="0.25">
      <c r="B63" s="25"/>
    </row>
    <row r="67" spans="2:49" x14ac:dyDescent="0.25">
      <c r="B67" s="623" t="s">
        <v>506</v>
      </c>
      <c r="C67" s="624"/>
      <c r="D67" s="624"/>
      <c r="E67" s="489"/>
      <c r="F67" s="489"/>
      <c r="G67" s="624"/>
      <c r="H67" s="489"/>
      <c r="I67" s="489"/>
      <c r="J67" s="624"/>
      <c r="K67" s="489"/>
      <c r="L67" s="489"/>
      <c r="M67" s="624"/>
      <c r="N67" s="489"/>
      <c r="O67" s="489"/>
      <c r="P67" s="624"/>
      <c r="Q67" s="624"/>
      <c r="R67" s="624"/>
      <c r="S67" s="624"/>
      <c r="T67" s="624"/>
      <c r="U67" s="489"/>
      <c r="V67" s="489"/>
      <c r="W67" s="489"/>
      <c r="X67" s="489"/>
      <c r="Y67" s="489"/>
      <c r="Z67" s="624"/>
      <c r="AA67" s="489"/>
      <c r="AB67" s="489"/>
      <c r="AC67" s="489"/>
      <c r="AD67" s="489"/>
      <c r="AE67" s="489"/>
      <c r="AF67" s="489"/>
      <c r="AG67" s="489"/>
      <c r="AH67" s="489"/>
      <c r="AI67" s="489"/>
      <c r="AJ67" s="489"/>
      <c r="AK67" s="489"/>
      <c r="AL67" s="489"/>
      <c r="AM67" s="489"/>
      <c r="AN67" s="489"/>
      <c r="AO67" s="489"/>
      <c r="AP67" s="489"/>
      <c r="AQ67" s="489"/>
      <c r="AR67" s="489"/>
      <c r="AS67" s="489"/>
      <c r="AT67" s="489"/>
      <c r="AU67" s="489"/>
      <c r="AV67" s="624"/>
      <c r="AW67" s="489"/>
    </row>
    <row r="68" spans="2:49" x14ac:dyDescent="0.25">
      <c r="B68" s="625" t="s">
        <v>507</v>
      </c>
      <c r="C68" s="626">
        <v>103864303.9900012</v>
      </c>
      <c r="D68" s="626">
        <v>1442870.5294648185</v>
      </c>
      <c r="E68" s="626">
        <v>54148.18896761442</v>
      </c>
      <c r="F68" s="626">
        <v>1216418.5906954836</v>
      </c>
      <c r="G68" s="626">
        <v>12916465.693796374</v>
      </c>
      <c r="H68" s="626">
        <v>-1412118.6458149552</v>
      </c>
      <c r="I68" s="626">
        <v>-1256319.1261336696</v>
      </c>
      <c r="J68" s="626">
        <v>-125428.75474144239</v>
      </c>
      <c r="K68" s="626">
        <v>-187098.30484735657</v>
      </c>
      <c r="L68" s="626">
        <v>69886.13058918016</v>
      </c>
      <c r="M68" s="626">
        <v>3831.0246199423614</v>
      </c>
      <c r="N68" s="626">
        <v>-204503.64267608413</v>
      </c>
      <c r="O68" s="626">
        <v>-438078.27529363008</v>
      </c>
      <c r="P68" s="626">
        <v>-770450.7474650637</v>
      </c>
      <c r="Q68" s="626">
        <v>-52646.119560989835</v>
      </c>
      <c r="R68" s="626">
        <v>-359399.40979334083</v>
      </c>
      <c r="S68" s="626">
        <v>-4190.3865716636919</v>
      </c>
      <c r="T68" s="626">
        <v>-10645.339606916785</v>
      </c>
      <c r="U68" s="626">
        <v>0</v>
      </c>
      <c r="V68" s="626">
        <v>-9738307.6067664325</v>
      </c>
      <c r="W68" s="626">
        <v>520589.30140931718</v>
      </c>
      <c r="X68" s="626">
        <v>0</v>
      </c>
      <c r="Y68" s="626">
        <v>1665023.1002711952</v>
      </c>
      <c r="Z68" s="626">
        <v>105529327.09027255</v>
      </c>
      <c r="AA68" s="626">
        <v>-7393164.0016801059</v>
      </c>
      <c r="AB68" s="626">
        <v>12260525.139203645</v>
      </c>
      <c r="AC68" s="626">
        <v>-182704.31817000164</v>
      </c>
      <c r="AD68" s="626">
        <v>-69886.130589179898</v>
      </c>
      <c r="AE68" s="626">
        <v>-3831.0246199423614</v>
      </c>
      <c r="AF68" s="626">
        <v>-24480.220569124907</v>
      </c>
      <c r="AG68" s="626">
        <v>-1909978.0874022099</v>
      </c>
      <c r="AH68" s="626">
        <v>-92853.606337802761</v>
      </c>
      <c r="AI68" s="626">
        <v>-308531.66010436148</v>
      </c>
      <c r="AJ68" s="626">
        <v>72647.038566666641</v>
      </c>
      <c r="AK68" s="626">
        <v>-676943.63053784647</v>
      </c>
      <c r="AL68" s="626">
        <v>-2990616.4492164613</v>
      </c>
      <c r="AM68" s="626">
        <v>134161.66059226336</v>
      </c>
      <c r="AN68" s="626">
        <v>-6475730.3914054362</v>
      </c>
      <c r="AO68" s="626">
        <v>344098.38920724997</v>
      </c>
      <c r="AP68" s="626">
        <v>722630.37767299998</v>
      </c>
      <c r="AQ68" s="626">
        <v>-128060.44049818032</v>
      </c>
      <c r="AR68" s="626">
        <v>-303817.36784007057</v>
      </c>
      <c r="AS68" s="626">
        <v>-289828.67457108601</v>
      </c>
      <c r="AT68" s="626">
        <v>31239.612311343335</v>
      </c>
      <c r="AU68" s="626">
        <v>-5263989.1653199438</v>
      </c>
      <c r="AV68" s="626">
        <v>-12557949.537500666</v>
      </c>
      <c r="AW68" s="626">
        <v>92681654.39726302</v>
      </c>
    </row>
    <row r="69" spans="2:49" x14ac:dyDescent="0.25">
      <c r="B69" s="627" t="s">
        <v>508</v>
      </c>
      <c r="C69" s="504">
        <v>1951252143.2591095</v>
      </c>
      <c r="D69" s="504">
        <v>0</v>
      </c>
      <c r="E69" s="504">
        <v>0</v>
      </c>
      <c r="F69" s="504">
        <v>0</v>
      </c>
      <c r="G69" s="504">
        <v>0</v>
      </c>
      <c r="H69" s="504">
        <v>0</v>
      </c>
      <c r="I69" s="504">
        <v>0</v>
      </c>
      <c r="J69" s="504">
        <v>0</v>
      </c>
      <c r="K69" s="504">
        <v>0</v>
      </c>
      <c r="L69" s="504">
        <v>0</v>
      </c>
      <c r="M69" s="504">
        <v>0</v>
      </c>
      <c r="N69" s="504">
        <v>0</v>
      </c>
      <c r="O69" s="504">
        <v>0</v>
      </c>
      <c r="P69" s="504">
        <v>0</v>
      </c>
      <c r="Q69" s="504">
        <v>0</v>
      </c>
      <c r="R69" s="504">
        <v>0</v>
      </c>
      <c r="S69" s="504">
        <v>0</v>
      </c>
      <c r="T69" s="504">
        <v>0</v>
      </c>
      <c r="U69" s="504">
        <v>150665688.3308869</v>
      </c>
      <c r="V69" s="504">
        <v>-9738307.6067664325</v>
      </c>
      <c r="W69" s="504">
        <v>0</v>
      </c>
      <c r="X69" s="504">
        <v>-105391.52511888376</v>
      </c>
      <c r="Y69" s="504">
        <v>140821989.19900155</v>
      </c>
      <c r="Z69" s="504">
        <v>2092074132.4581106</v>
      </c>
      <c r="AA69" s="504">
        <v>0</v>
      </c>
      <c r="AB69" s="504">
        <v>0</v>
      </c>
      <c r="AC69" s="504">
        <v>0</v>
      </c>
      <c r="AD69" s="504">
        <v>0</v>
      </c>
      <c r="AE69" s="504">
        <v>0</v>
      </c>
      <c r="AF69" s="504">
        <v>0</v>
      </c>
      <c r="AG69" s="504">
        <v>0</v>
      </c>
      <c r="AH69" s="504">
        <v>0</v>
      </c>
      <c r="AI69" s="504">
        <v>0</v>
      </c>
      <c r="AJ69" s="504">
        <v>0</v>
      </c>
      <c r="AK69" s="504">
        <v>0</v>
      </c>
      <c r="AL69" s="504">
        <v>27075364.87814606</v>
      </c>
      <c r="AM69" s="504">
        <v>0</v>
      </c>
      <c r="AN69" s="504">
        <v>18429892.273602732</v>
      </c>
      <c r="AO69" s="504">
        <v>0</v>
      </c>
      <c r="AP69" s="504">
        <v>361315.18883649912</v>
      </c>
      <c r="AQ69" s="504">
        <v>17461761.383451898</v>
      </c>
      <c r="AR69" s="504">
        <v>0</v>
      </c>
      <c r="AS69" s="504">
        <v>2961814.0198504785</v>
      </c>
      <c r="AT69" s="504">
        <v>-9327511.0024682488</v>
      </c>
      <c r="AU69" s="504">
        <v>-6388043.7029168438</v>
      </c>
      <c r="AV69" s="504">
        <v>50574593.038502574</v>
      </c>
      <c r="AW69" s="504">
        <v>2142648725.4966133</v>
      </c>
    </row>
    <row r="70" spans="2:49" x14ac:dyDescent="0.25">
      <c r="B70" s="623" t="s">
        <v>509</v>
      </c>
      <c r="C70" s="624"/>
      <c r="D70" s="624"/>
      <c r="E70" s="489"/>
      <c r="F70" s="489"/>
      <c r="G70" s="624"/>
      <c r="H70" s="489"/>
      <c r="I70" s="489"/>
      <c r="J70" s="624"/>
      <c r="K70" s="489"/>
      <c r="L70" s="489"/>
      <c r="M70" s="624"/>
      <c r="N70" s="489"/>
      <c r="O70" s="489"/>
      <c r="P70" s="624"/>
      <c r="Q70" s="624"/>
      <c r="R70" s="624"/>
      <c r="S70" s="624"/>
      <c r="T70" s="624"/>
      <c r="U70" s="489"/>
      <c r="V70" s="489"/>
      <c r="W70" s="489"/>
      <c r="X70" s="489"/>
      <c r="Y70" s="489"/>
      <c r="Z70" s="624"/>
      <c r="AA70" s="489"/>
      <c r="AB70" s="489"/>
      <c r="AC70" s="489"/>
      <c r="AD70" s="489"/>
      <c r="AE70" s="489"/>
      <c r="AF70" s="489"/>
      <c r="AG70" s="489"/>
      <c r="AH70" s="489"/>
      <c r="AI70" s="489"/>
      <c r="AJ70" s="489"/>
      <c r="AK70" s="489"/>
      <c r="AL70" s="489"/>
      <c r="AM70" s="489"/>
      <c r="AN70" s="489"/>
      <c r="AO70" s="489"/>
      <c r="AP70" s="489"/>
      <c r="AQ70" s="489"/>
      <c r="AR70" s="489"/>
      <c r="AS70" s="489"/>
      <c r="AT70" s="489"/>
      <c r="AU70" s="489"/>
      <c r="AV70" s="624"/>
      <c r="AW70" s="489"/>
    </row>
    <row r="71" spans="2:49" x14ac:dyDescent="0.25">
      <c r="B71" s="625" t="s">
        <v>507</v>
      </c>
      <c r="C71" s="626">
        <f t="shared" ref="C71:AU71" si="49">C44</f>
        <v>103864303.9900012</v>
      </c>
      <c r="D71" s="626">
        <f t="shared" si="49"/>
        <v>1442870.5294648185</v>
      </c>
      <c r="E71" s="626">
        <f>E44</f>
        <v>54148.18896761442</v>
      </c>
      <c r="F71" s="626">
        <f t="shared" si="49"/>
        <v>1216418.5906954836</v>
      </c>
      <c r="G71" s="626">
        <f>G44</f>
        <v>12916465.693796374</v>
      </c>
      <c r="H71" s="626">
        <f t="shared" si="49"/>
        <v>-1412118.6458149552</v>
      </c>
      <c r="I71" s="626">
        <f t="shared" si="49"/>
        <v>-1256319.1261336696</v>
      </c>
      <c r="J71" s="626">
        <f t="shared" si="49"/>
        <v>-125428.75474144239</v>
      </c>
      <c r="K71" s="626">
        <f t="shared" si="49"/>
        <v>-187098.30484735657</v>
      </c>
      <c r="L71" s="626">
        <f t="shared" si="49"/>
        <v>69886.13058918016</v>
      </c>
      <c r="M71" s="626">
        <f t="shared" si="49"/>
        <v>3831.0246199423614</v>
      </c>
      <c r="N71" s="626">
        <f t="shared" si="49"/>
        <v>-204503.64267608413</v>
      </c>
      <c r="O71" s="626">
        <f t="shared" si="49"/>
        <v>-438078.27529363008</v>
      </c>
      <c r="P71" s="626">
        <f t="shared" si="49"/>
        <v>-770450.7474650637</v>
      </c>
      <c r="Q71" s="626">
        <f t="shared" si="49"/>
        <v>-52646.119560989835</v>
      </c>
      <c r="R71" s="626">
        <f t="shared" si="49"/>
        <v>-359399.40979334083</v>
      </c>
      <c r="S71" s="626">
        <f t="shared" si="49"/>
        <v>-4190.3865716636919</v>
      </c>
      <c r="T71" s="626">
        <f t="shared" si="49"/>
        <v>-10645.339606916785</v>
      </c>
      <c r="U71" s="626">
        <f t="shared" si="49"/>
        <v>0</v>
      </c>
      <c r="V71" s="626">
        <f t="shared" si="49"/>
        <v>-9738307.6067664325</v>
      </c>
      <c r="W71" s="626">
        <f t="shared" si="49"/>
        <v>520589.30140931718</v>
      </c>
      <c r="X71" s="626">
        <f t="shared" ref="X71" si="50">X44</f>
        <v>0</v>
      </c>
      <c r="Y71" s="626">
        <f>Y44</f>
        <v>1665023.1002711952</v>
      </c>
      <c r="Z71" s="626">
        <f>Z44</f>
        <v>105529327.09027255</v>
      </c>
      <c r="AA71" s="626">
        <f t="shared" ref="AA71" si="51">AA44</f>
        <v>-7393164.0016801059</v>
      </c>
      <c r="AB71" s="626">
        <f>AB44</f>
        <v>12260525.139203645</v>
      </c>
      <c r="AC71" s="626">
        <f>AC44</f>
        <v>-182704.31817000164</v>
      </c>
      <c r="AD71" s="626">
        <f t="shared" si="49"/>
        <v>-69886.130589179898</v>
      </c>
      <c r="AE71" s="626">
        <f t="shared" si="49"/>
        <v>-3831.0246199423614</v>
      </c>
      <c r="AF71" s="626">
        <f t="shared" si="49"/>
        <v>-24480.220569124907</v>
      </c>
      <c r="AG71" s="626">
        <f t="shared" si="49"/>
        <v>-1909978.0874022099</v>
      </c>
      <c r="AH71" s="626">
        <f t="shared" si="49"/>
        <v>-92853.606337802761</v>
      </c>
      <c r="AI71" s="626">
        <f t="shared" si="49"/>
        <v>-308531.66010436148</v>
      </c>
      <c r="AJ71" s="626">
        <f>AJ44</f>
        <v>72647.038566666641</v>
      </c>
      <c r="AK71" s="626">
        <f t="shared" si="49"/>
        <v>-676943.63053784647</v>
      </c>
      <c r="AL71" s="626">
        <f t="shared" si="49"/>
        <v>-2990616.4492164613</v>
      </c>
      <c r="AM71" s="626">
        <f t="shared" si="49"/>
        <v>134161.66059226336</v>
      </c>
      <c r="AN71" s="626">
        <f t="shared" si="49"/>
        <v>-6475730.3914054362</v>
      </c>
      <c r="AO71" s="626">
        <f t="shared" si="49"/>
        <v>344098.38920724997</v>
      </c>
      <c r="AP71" s="626">
        <f t="shared" si="49"/>
        <v>722630.37767299998</v>
      </c>
      <c r="AQ71" s="626">
        <f t="shared" si="49"/>
        <v>-128060.44049818032</v>
      </c>
      <c r="AR71" s="626">
        <f t="shared" si="49"/>
        <v>-303817.36784007057</v>
      </c>
      <c r="AS71" s="626">
        <f t="shared" si="49"/>
        <v>-289828.67457108601</v>
      </c>
      <c r="AT71" s="626">
        <f t="shared" si="49"/>
        <v>31239.612311343335</v>
      </c>
      <c r="AU71" s="626">
        <f t="shared" si="49"/>
        <v>-5263989.1653199438</v>
      </c>
      <c r="AV71" s="626">
        <f>AV44-8836.5861930885</f>
        <v>-12557949.537500666</v>
      </c>
      <c r="AW71" s="626">
        <f>AW44-8836.5861930885-289723.155508542</f>
        <v>92681654.39726302</v>
      </c>
    </row>
    <row r="72" spans="2:49" x14ac:dyDescent="0.25">
      <c r="B72" s="627" t="s">
        <v>508</v>
      </c>
      <c r="C72" s="504">
        <f t="shared" ref="C72:AW72" si="52">C46</f>
        <v>1951252143.2591095</v>
      </c>
      <c r="D72" s="504">
        <f t="shared" si="52"/>
        <v>0</v>
      </c>
      <c r="E72" s="504">
        <f>E46</f>
        <v>0</v>
      </c>
      <c r="F72" s="504">
        <f t="shared" si="52"/>
        <v>0</v>
      </c>
      <c r="G72" s="504">
        <f t="shared" si="52"/>
        <v>0</v>
      </c>
      <c r="H72" s="504">
        <f t="shared" si="52"/>
        <v>0</v>
      </c>
      <c r="I72" s="504">
        <f t="shared" si="52"/>
        <v>0</v>
      </c>
      <c r="J72" s="504">
        <f t="shared" si="52"/>
        <v>0</v>
      </c>
      <c r="K72" s="504">
        <f t="shared" si="52"/>
        <v>0</v>
      </c>
      <c r="L72" s="504">
        <f t="shared" si="52"/>
        <v>0</v>
      </c>
      <c r="M72" s="504">
        <f t="shared" si="52"/>
        <v>0</v>
      </c>
      <c r="N72" s="504">
        <f t="shared" si="52"/>
        <v>0</v>
      </c>
      <c r="O72" s="504">
        <f t="shared" si="52"/>
        <v>0</v>
      </c>
      <c r="P72" s="504">
        <f t="shared" si="52"/>
        <v>0</v>
      </c>
      <c r="Q72" s="504">
        <f t="shared" si="52"/>
        <v>0</v>
      </c>
      <c r="R72" s="504">
        <f t="shared" si="52"/>
        <v>0</v>
      </c>
      <c r="S72" s="504">
        <f t="shared" si="52"/>
        <v>0</v>
      </c>
      <c r="T72" s="504">
        <f t="shared" si="52"/>
        <v>0</v>
      </c>
      <c r="U72" s="504">
        <f t="shared" si="52"/>
        <v>150665688.3308869</v>
      </c>
      <c r="V72" s="504">
        <f t="shared" si="52"/>
        <v>-9738307.6067664325</v>
      </c>
      <c r="W72" s="504">
        <f t="shared" si="52"/>
        <v>0</v>
      </c>
      <c r="X72" s="504">
        <f t="shared" ref="X72" si="53">X46</f>
        <v>-105391.52511888376</v>
      </c>
      <c r="Y72" s="504">
        <f t="shared" si="52"/>
        <v>140821989.19900155</v>
      </c>
      <c r="Z72" s="504">
        <f t="shared" si="52"/>
        <v>2092074132.4581106</v>
      </c>
      <c r="AA72" s="504">
        <f t="shared" si="52"/>
        <v>0</v>
      </c>
      <c r="AB72" s="504">
        <f>AB46</f>
        <v>0</v>
      </c>
      <c r="AC72" s="504">
        <f t="shared" si="52"/>
        <v>0</v>
      </c>
      <c r="AD72" s="504">
        <f t="shared" si="52"/>
        <v>0</v>
      </c>
      <c r="AE72" s="504">
        <f t="shared" si="52"/>
        <v>0</v>
      </c>
      <c r="AF72" s="504">
        <f t="shared" si="52"/>
        <v>0</v>
      </c>
      <c r="AG72" s="504">
        <f t="shared" si="52"/>
        <v>0</v>
      </c>
      <c r="AH72" s="504">
        <f t="shared" si="52"/>
        <v>0</v>
      </c>
      <c r="AI72" s="504">
        <f t="shared" si="52"/>
        <v>0</v>
      </c>
      <c r="AJ72" s="504">
        <f>AJ46</f>
        <v>0</v>
      </c>
      <c r="AK72" s="504">
        <f t="shared" si="52"/>
        <v>0</v>
      </c>
      <c r="AL72" s="504">
        <f t="shared" si="52"/>
        <v>27075364.87814606</v>
      </c>
      <c r="AM72" s="504">
        <f t="shared" si="52"/>
        <v>0</v>
      </c>
      <c r="AN72" s="504">
        <f t="shared" si="52"/>
        <v>18429892.273602732</v>
      </c>
      <c r="AO72" s="504">
        <f t="shared" si="52"/>
        <v>0</v>
      </c>
      <c r="AP72" s="504">
        <f t="shared" si="52"/>
        <v>361315.18883649912</v>
      </c>
      <c r="AQ72" s="504">
        <f t="shared" si="52"/>
        <v>17461761.383451898</v>
      </c>
      <c r="AR72" s="504">
        <f t="shared" si="52"/>
        <v>0</v>
      </c>
      <c r="AS72" s="504">
        <f t="shared" si="52"/>
        <v>2961814.0198504785</v>
      </c>
      <c r="AT72" s="504">
        <f t="shared" si="52"/>
        <v>-9327511.0024682488</v>
      </c>
      <c r="AU72" s="504">
        <f t="shared" si="52"/>
        <v>-6388043.7029168438</v>
      </c>
      <c r="AV72" s="504">
        <f t="shared" si="52"/>
        <v>50574593.038502574</v>
      </c>
      <c r="AW72" s="504">
        <f t="shared" si="52"/>
        <v>2142648725.4966133</v>
      </c>
    </row>
    <row r="73" spans="2:49" x14ac:dyDescent="0.25">
      <c r="B73" s="623" t="s">
        <v>510</v>
      </c>
      <c r="C73" s="624"/>
      <c r="D73" s="624"/>
      <c r="E73" s="489"/>
      <c r="F73" s="489"/>
      <c r="G73" s="624"/>
      <c r="H73" s="489"/>
      <c r="I73" s="489"/>
      <c r="J73" s="624"/>
      <c r="K73" s="489"/>
      <c r="L73" s="489"/>
      <c r="M73" s="624"/>
      <c r="N73" s="489"/>
      <c r="O73" s="489"/>
      <c r="P73" s="624"/>
      <c r="Q73" s="624"/>
      <c r="R73" s="624"/>
      <c r="S73" s="624"/>
      <c r="T73" s="624"/>
      <c r="U73" s="489"/>
      <c r="V73" s="489"/>
      <c r="W73" s="489"/>
      <c r="X73" s="489"/>
      <c r="Y73" s="489"/>
      <c r="Z73" s="624"/>
      <c r="AA73" s="489"/>
      <c r="AB73" s="489"/>
      <c r="AC73" s="489"/>
      <c r="AD73" s="489"/>
      <c r="AE73" s="489"/>
      <c r="AF73" s="489"/>
      <c r="AG73" s="489"/>
      <c r="AH73" s="489"/>
      <c r="AI73" s="489"/>
      <c r="AJ73" s="489"/>
      <c r="AK73" s="489"/>
      <c r="AL73" s="489"/>
      <c r="AM73" s="489"/>
      <c r="AN73" s="489"/>
      <c r="AO73" s="489"/>
      <c r="AP73" s="489"/>
      <c r="AQ73" s="489"/>
      <c r="AR73" s="489"/>
      <c r="AS73" s="489"/>
      <c r="AT73" s="489"/>
      <c r="AU73" s="489"/>
      <c r="AV73" s="624"/>
      <c r="AW73" s="489"/>
    </row>
    <row r="74" spans="2:49" x14ac:dyDescent="0.25">
      <c r="B74" s="628" t="s">
        <v>511</v>
      </c>
      <c r="C74" s="629">
        <f t="shared" ref="C74:AU75" si="54">C71-C68</f>
        <v>0</v>
      </c>
      <c r="D74" s="629">
        <f t="shared" si="54"/>
        <v>0</v>
      </c>
      <c r="E74" s="629">
        <f>E71-E68</f>
        <v>0</v>
      </c>
      <c r="F74" s="629">
        <f t="shared" si="54"/>
        <v>0</v>
      </c>
      <c r="G74" s="629">
        <f>G71-G68</f>
        <v>0</v>
      </c>
      <c r="H74" s="629">
        <f t="shared" si="54"/>
        <v>0</v>
      </c>
      <c r="I74" s="629">
        <f t="shared" si="54"/>
        <v>0</v>
      </c>
      <c r="J74" s="629">
        <f t="shared" si="54"/>
        <v>0</v>
      </c>
      <c r="K74" s="629">
        <f t="shared" si="54"/>
        <v>0</v>
      </c>
      <c r="L74" s="629">
        <f t="shared" si="54"/>
        <v>0</v>
      </c>
      <c r="M74" s="629">
        <f t="shared" si="54"/>
        <v>0</v>
      </c>
      <c r="N74" s="629">
        <f t="shared" si="54"/>
        <v>0</v>
      </c>
      <c r="O74" s="629">
        <f t="shared" si="54"/>
        <v>0</v>
      </c>
      <c r="P74" s="629">
        <f t="shared" si="54"/>
        <v>0</v>
      </c>
      <c r="Q74" s="629">
        <f t="shared" si="54"/>
        <v>0</v>
      </c>
      <c r="R74" s="629">
        <f t="shared" si="54"/>
        <v>0</v>
      </c>
      <c r="S74" s="629">
        <f t="shared" si="54"/>
        <v>0</v>
      </c>
      <c r="T74" s="629">
        <f t="shared" si="54"/>
        <v>0</v>
      </c>
      <c r="U74" s="629">
        <f t="shared" si="54"/>
        <v>0</v>
      </c>
      <c r="V74" s="629">
        <f t="shared" si="54"/>
        <v>0</v>
      </c>
      <c r="W74" s="629">
        <f t="shared" si="54"/>
        <v>0</v>
      </c>
      <c r="X74" s="629">
        <f t="shared" ref="X74" si="55">X71-X68</f>
        <v>0</v>
      </c>
      <c r="Y74" s="629">
        <f>Y71-Y68</f>
        <v>0</v>
      </c>
      <c r="Z74" s="629">
        <f>Z71-Z68</f>
        <v>0</v>
      </c>
      <c r="AA74" s="629">
        <f t="shared" si="54"/>
        <v>0</v>
      </c>
      <c r="AB74" s="629">
        <f>AB71-AB68</f>
        <v>0</v>
      </c>
      <c r="AC74" s="629">
        <f>AC71-AC68</f>
        <v>0</v>
      </c>
      <c r="AD74" s="629">
        <f t="shared" si="54"/>
        <v>0</v>
      </c>
      <c r="AE74" s="629">
        <f t="shared" si="54"/>
        <v>0</v>
      </c>
      <c r="AF74" s="629">
        <f t="shared" si="54"/>
        <v>0</v>
      </c>
      <c r="AG74" s="629">
        <f t="shared" si="54"/>
        <v>0</v>
      </c>
      <c r="AH74" s="629">
        <f t="shared" si="54"/>
        <v>0</v>
      </c>
      <c r="AI74" s="629">
        <f t="shared" si="54"/>
        <v>0</v>
      </c>
      <c r="AJ74" s="629">
        <f>AJ71-AJ68</f>
        <v>0</v>
      </c>
      <c r="AK74" s="629">
        <f t="shared" si="54"/>
        <v>0</v>
      </c>
      <c r="AL74" s="629">
        <f t="shared" si="54"/>
        <v>0</v>
      </c>
      <c r="AM74" s="629">
        <f t="shared" si="54"/>
        <v>0</v>
      </c>
      <c r="AN74" s="629">
        <f t="shared" si="54"/>
        <v>0</v>
      </c>
      <c r="AO74" s="629">
        <f t="shared" si="54"/>
        <v>0</v>
      </c>
      <c r="AP74" s="629">
        <f t="shared" si="54"/>
        <v>0</v>
      </c>
      <c r="AQ74" s="629">
        <f t="shared" si="54"/>
        <v>0</v>
      </c>
      <c r="AR74" s="629">
        <f t="shared" si="54"/>
        <v>0</v>
      </c>
      <c r="AS74" s="629">
        <f t="shared" si="54"/>
        <v>0</v>
      </c>
      <c r="AT74" s="629">
        <f t="shared" si="54"/>
        <v>0</v>
      </c>
      <c r="AU74" s="629">
        <f t="shared" si="54"/>
        <v>0</v>
      </c>
      <c r="AV74" s="629">
        <f>AV71-AV68</f>
        <v>0</v>
      </c>
      <c r="AW74" s="629">
        <f>AW71-AW68</f>
        <v>0</v>
      </c>
    </row>
    <row r="75" spans="2:49" x14ac:dyDescent="0.25">
      <c r="B75" s="627" t="s">
        <v>512</v>
      </c>
      <c r="C75" s="504">
        <f t="shared" si="54"/>
        <v>0</v>
      </c>
      <c r="D75" s="504">
        <f t="shared" si="54"/>
        <v>0</v>
      </c>
      <c r="E75" s="504">
        <f>E72-E69</f>
        <v>0</v>
      </c>
      <c r="F75" s="504">
        <f t="shared" si="54"/>
        <v>0</v>
      </c>
      <c r="G75" s="504">
        <f t="shared" si="54"/>
        <v>0</v>
      </c>
      <c r="H75" s="504">
        <f t="shared" si="54"/>
        <v>0</v>
      </c>
      <c r="I75" s="504">
        <f t="shared" si="54"/>
        <v>0</v>
      </c>
      <c r="J75" s="504">
        <f t="shared" si="54"/>
        <v>0</v>
      </c>
      <c r="K75" s="504">
        <f t="shared" si="54"/>
        <v>0</v>
      </c>
      <c r="L75" s="504">
        <f t="shared" si="54"/>
        <v>0</v>
      </c>
      <c r="M75" s="504">
        <f t="shared" si="54"/>
        <v>0</v>
      </c>
      <c r="N75" s="504">
        <f t="shared" si="54"/>
        <v>0</v>
      </c>
      <c r="O75" s="504">
        <f t="shared" si="54"/>
        <v>0</v>
      </c>
      <c r="P75" s="504">
        <f t="shared" si="54"/>
        <v>0</v>
      </c>
      <c r="Q75" s="504">
        <f t="shared" si="54"/>
        <v>0</v>
      </c>
      <c r="R75" s="504">
        <f t="shared" si="54"/>
        <v>0</v>
      </c>
      <c r="S75" s="504">
        <f t="shared" si="54"/>
        <v>0</v>
      </c>
      <c r="T75" s="504">
        <f t="shared" si="54"/>
        <v>0</v>
      </c>
      <c r="U75" s="504">
        <f t="shared" si="54"/>
        <v>0</v>
      </c>
      <c r="V75" s="504">
        <f t="shared" si="54"/>
        <v>0</v>
      </c>
      <c r="W75" s="504">
        <f t="shared" si="54"/>
        <v>0</v>
      </c>
      <c r="X75" s="504">
        <f t="shared" ref="X75" si="56">X72-X69</f>
        <v>0</v>
      </c>
      <c r="Y75" s="504">
        <f t="shared" si="54"/>
        <v>0</v>
      </c>
      <c r="Z75" s="504">
        <f t="shared" si="54"/>
        <v>0</v>
      </c>
      <c r="AA75" s="504"/>
      <c r="AB75" s="504">
        <f>AB72-AB69</f>
        <v>0</v>
      </c>
      <c r="AC75" s="504">
        <f t="shared" si="54"/>
        <v>0</v>
      </c>
      <c r="AD75" s="504">
        <f t="shared" si="54"/>
        <v>0</v>
      </c>
      <c r="AE75" s="504">
        <f>AE72-AE69</f>
        <v>0</v>
      </c>
      <c r="AF75" s="504">
        <f>AF72-AF69</f>
        <v>0</v>
      </c>
      <c r="AG75" s="504">
        <f>AG72-AG69</f>
        <v>0</v>
      </c>
      <c r="AH75" s="504">
        <f>AH72-AH69</f>
        <v>0</v>
      </c>
      <c r="AI75" s="504">
        <f>AI72-AI69</f>
        <v>0</v>
      </c>
      <c r="AJ75" s="504">
        <f>AJ72-AJ69</f>
        <v>0</v>
      </c>
      <c r="AK75" s="504">
        <f>AK72-AK69</f>
        <v>0</v>
      </c>
      <c r="AL75" s="504">
        <f>AL72-AL69</f>
        <v>0</v>
      </c>
      <c r="AM75" s="504">
        <f t="shared" si="54"/>
        <v>0</v>
      </c>
      <c r="AN75" s="504">
        <f>AN72-AN69</f>
        <v>0</v>
      </c>
      <c r="AO75" s="504">
        <f>AO72-AO69</f>
        <v>0</v>
      </c>
      <c r="AP75" s="504">
        <f>AP72-AP69</f>
        <v>0</v>
      </c>
      <c r="AQ75" s="504">
        <f>AQ72-AQ69</f>
        <v>0</v>
      </c>
      <c r="AR75" s="504">
        <f>AR72-AR69</f>
        <v>0</v>
      </c>
      <c r="AS75" s="504">
        <f t="shared" si="54"/>
        <v>0</v>
      </c>
      <c r="AT75" s="504">
        <f t="shared" si="54"/>
        <v>0</v>
      </c>
      <c r="AU75" s="504">
        <f t="shared" si="54"/>
        <v>0</v>
      </c>
      <c r="AV75" s="504">
        <f>AV72-AV69</f>
        <v>0</v>
      </c>
      <c r="AW75" s="504">
        <f>AW72-AW69</f>
        <v>0</v>
      </c>
    </row>
    <row r="136" spans="17:17" x14ac:dyDescent="0.25">
      <c r="Q136" s="624"/>
    </row>
    <row r="137" spans="17:17" x14ac:dyDescent="0.25">
      <c r="Q137" s="630">
        <f>Q110</f>
        <v>0</v>
      </c>
    </row>
    <row r="138" spans="17:17" x14ac:dyDescent="0.25">
      <c r="Q138" s="504">
        <f>Q112</f>
        <v>0</v>
      </c>
    </row>
    <row r="139" spans="17:17" x14ac:dyDescent="0.25">
      <c r="Q139" s="624"/>
    </row>
    <row r="140" spans="17:17" x14ac:dyDescent="0.25">
      <c r="Q140" s="631">
        <f>Q137-Q134</f>
        <v>0</v>
      </c>
    </row>
    <row r="141" spans="17:17" x14ac:dyDescent="0.25">
      <c r="Q141" s="504">
        <f>Q138-Q135</f>
        <v>0</v>
      </c>
    </row>
  </sheetData>
  <printOptions horizontalCentered="1"/>
  <pageMargins left="0.2" right="0.2" top="0.5" bottom="0.5" header="0.05" footer="0.05"/>
  <pageSetup scale="58" fitToWidth="0" orientation="landscape" r:id="rId1"/>
  <colBreaks count="1" manualBreakCount="1">
    <brk id="49" max="1048575" man="1"/>
  </colBreaks>
  <customProperties>
    <customPr name="_pios_id" r:id="rId2"/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77"/>
  <sheetViews>
    <sheetView zoomScale="85" zoomScaleNormal="85" workbookViewId="0">
      <pane xSplit="1" ySplit="1" topLeftCell="B2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ColWidth="9.109375" defaultRowHeight="13.8" x14ac:dyDescent="0.25"/>
  <cols>
    <col min="1" max="1" width="5.44140625" style="7" bestFit="1" customWidth="1"/>
    <col min="2" max="2" width="43.6640625" style="7" bestFit="1" customWidth="1"/>
    <col min="3" max="3" width="16.109375" style="7" customWidth="1"/>
    <col min="4" max="5" width="14.33203125" style="7" bestFit="1" customWidth="1"/>
    <col min="6" max="6" width="14.109375" style="7" bestFit="1" customWidth="1"/>
    <col min="7" max="7" width="15.44140625" style="7" bestFit="1" customWidth="1"/>
    <col min="8" max="8" width="17.5546875" style="7" customWidth="1"/>
    <col min="9" max="9" width="5.6640625" style="7" bestFit="1" customWidth="1"/>
    <col min="10" max="10" width="51.6640625" style="7" bestFit="1" customWidth="1"/>
    <col min="11" max="11" width="9.5546875" style="7" bestFit="1" customWidth="1"/>
    <col min="12" max="14" width="15.6640625" style="7" customWidth="1"/>
    <col min="15" max="15" width="18.6640625" style="7" bestFit="1" customWidth="1"/>
    <col min="16" max="16" width="21" style="7" bestFit="1" customWidth="1"/>
    <col min="17" max="17" width="9.44140625" style="7" bestFit="1" customWidth="1"/>
    <col min="18" max="18" width="35.44140625" style="7" bestFit="1" customWidth="1"/>
    <col min="19" max="19" width="4.5546875" style="7" bestFit="1" customWidth="1"/>
    <col min="20" max="21" width="14.109375" style="7" customWidth="1"/>
    <col min="22" max="22" width="16" style="7" customWidth="1"/>
    <col min="23" max="23" width="14.109375" style="7" customWidth="1"/>
    <col min="24" max="24" width="16.6640625" style="7" customWidth="1"/>
    <col min="25" max="25" width="5.44140625" style="7" bestFit="1" customWidth="1"/>
    <col min="26" max="26" width="33.109375" style="7" customWidth="1"/>
    <col min="27" max="27" width="5.109375" style="7" bestFit="1" customWidth="1"/>
    <col min="28" max="31" width="16.88671875" style="7" customWidth="1"/>
    <col min="32" max="32" width="14.6640625" style="7" bestFit="1" customWidth="1"/>
    <col min="33" max="33" width="9.5546875" style="7" bestFit="1" customWidth="1"/>
    <col min="34" max="34" width="65.33203125" style="7" customWidth="1"/>
    <col min="35" max="35" width="10.44140625" style="7" bestFit="1" customWidth="1"/>
    <col min="36" max="36" width="17.44140625" style="7" customWidth="1"/>
    <col min="37" max="37" width="12.44140625" style="7" customWidth="1"/>
    <col min="38" max="38" width="19.44140625" style="7" customWidth="1"/>
    <col min="39" max="39" width="13.33203125" style="7" customWidth="1"/>
    <col min="40" max="40" width="16.6640625" style="7" bestFit="1" customWidth="1"/>
    <col min="41" max="41" width="12.33203125" style="7" bestFit="1" customWidth="1"/>
    <col min="42" max="42" width="54.33203125" style="7" customWidth="1"/>
    <col min="43" max="43" width="4.88671875" style="7" bestFit="1" customWidth="1"/>
    <col min="44" max="45" width="16" style="7" customWidth="1"/>
    <col min="46" max="46" width="13.44140625" style="7" bestFit="1" customWidth="1"/>
    <col min="47" max="47" width="12.44140625" style="7" bestFit="1" customWidth="1"/>
    <col min="48" max="48" width="14.88671875" style="7" bestFit="1" customWidth="1"/>
    <col min="49" max="49" width="6.44140625" style="7" bestFit="1" customWidth="1"/>
    <col min="50" max="50" width="45.88671875" style="7" customWidth="1"/>
    <col min="51" max="51" width="5.109375" style="7" bestFit="1" customWidth="1"/>
    <col min="52" max="53" width="15" style="7" bestFit="1" customWidth="1"/>
    <col min="54" max="54" width="16.44140625" style="7" bestFit="1" customWidth="1"/>
    <col min="55" max="55" width="15" style="7" bestFit="1" customWidth="1"/>
    <col min="56" max="56" width="15.109375" style="7" bestFit="1" customWidth="1"/>
    <col min="57" max="57" width="14.109375" style="7" bestFit="1" customWidth="1"/>
    <col min="58" max="58" width="9.44140625" style="7" bestFit="1" customWidth="1"/>
    <col min="59" max="59" width="45" style="7" customWidth="1"/>
    <col min="60" max="60" width="4.33203125" style="7" customWidth="1"/>
    <col min="61" max="61" width="13" style="7" customWidth="1"/>
    <col min="62" max="62" width="12.109375" style="7" customWidth="1"/>
    <col min="63" max="64" width="14.33203125" style="7" bestFit="1" customWidth="1"/>
    <col min="65" max="65" width="13.44140625" style="7" bestFit="1" customWidth="1"/>
    <col min="66" max="66" width="5.44140625" style="7" bestFit="1" customWidth="1"/>
    <col min="67" max="67" width="47.109375" style="7" bestFit="1" customWidth="1"/>
    <col min="68" max="68" width="4.88671875" style="7" bestFit="1" customWidth="1"/>
    <col min="69" max="69" width="13.6640625" style="7" customWidth="1"/>
    <col min="70" max="70" width="14.33203125" style="7" customWidth="1"/>
    <col min="71" max="71" width="15.33203125" style="7" customWidth="1"/>
    <col min="72" max="72" width="13.6640625" style="7" customWidth="1"/>
    <col min="73" max="73" width="14.88671875" style="7" bestFit="1" customWidth="1"/>
    <col min="74" max="74" width="9.44140625" style="7" bestFit="1" customWidth="1"/>
    <col min="75" max="75" width="31.109375" style="7" bestFit="1" customWidth="1"/>
    <col min="76" max="76" width="10.88671875" style="7" bestFit="1" customWidth="1"/>
    <col min="77" max="78" width="10.5546875" style="7" customWidth="1"/>
    <col min="79" max="79" width="14" style="7" bestFit="1" customWidth="1"/>
    <col min="80" max="80" width="10.5546875" style="7" bestFit="1" customWidth="1"/>
    <col min="81" max="81" width="14.88671875" style="7" bestFit="1" customWidth="1"/>
    <col min="82" max="82" width="9.44140625" style="7" bestFit="1" customWidth="1"/>
    <col min="83" max="83" width="49.5546875" style="7" bestFit="1" customWidth="1"/>
    <col min="84" max="84" width="9.109375" style="7"/>
    <col min="85" max="89" width="13.44140625" style="7" customWidth="1"/>
    <col min="90" max="90" width="9.44140625" style="7" bestFit="1" customWidth="1"/>
    <col min="91" max="91" width="46.88671875" style="7" bestFit="1" customWidth="1"/>
    <col min="92" max="92" width="4.88671875" style="7" bestFit="1" customWidth="1"/>
    <col min="93" max="96" width="13.6640625" style="7" customWidth="1"/>
    <col min="97" max="97" width="13.88671875" style="7" customWidth="1"/>
    <col min="98" max="98" width="5.33203125" style="7" bestFit="1" customWidth="1"/>
    <col min="99" max="99" width="48.109375" style="7" customWidth="1"/>
    <col min="100" max="100" width="6.44140625" style="7" customWidth="1"/>
    <col min="101" max="101" width="13.44140625" style="7" bestFit="1" customWidth="1"/>
    <col min="102" max="102" width="12.5546875" style="7" customWidth="1"/>
    <col min="103" max="103" width="16.44140625" style="7" bestFit="1" customWidth="1"/>
    <col min="104" max="104" width="14.33203125" style="7" bestFit="1" customWidth="1"/>
    <col min="105" max="105" width="14.88671875" style="7" bestFit="1" customWidth="1"/>
    <col min="106" max="106" width="9.44140625" style="7" bestFit="1" customWidth="1"/>
    <col min="107" max="107" width="39.5546875" style="7" bestFit="1" customWidth="1"/>
    <col min="108" max="108" width="5.5546875" style="7" customWidth="1"/>
    <col min="109" max="109" width="14" style="7" bestFit="1" customWidth="1"/>
    <col min="110" max="110" width="14.88671875" style="7" bestFit="1" customWidth="1"/>
    <col min="111" max="111" width="14" style="7" bestFit="1" customWidth="1"/>
    <col min="112" max="112" width="14.88671875" style="7" bestFit="1" customWidth="1"/>
    <col min="113" max="113" width="13.88671875" style="7" bestFit="1" customWidth="1"/>
    <col min="114" max="114" width="9.44140625" style="7" bestFit="1" customWidth="1"/>
    <col min="115" max="115" width="39.5546875" style="7" bestFit="1" customWidth="1"/>
    <col min="116" max="116" width="4.88671875" style="7" bestFit="1" customWidth="1"/>
    <col min="117" max="118" width="13.5546875" style="7" bestFit="1" customWidth="1"/>
    <col min="119" max="119" width="15.33203125" style="7" bestFit="1" customWidth="1"/>
    <col min="120" max="120" width="15" style="7" bestFit="1" customWidth="1"/>
    <col min="121" max="121" width="13.44140625" style="7" bestFit="1" customWidth="1"/>
    <col min="122" max="122" width="9.44140625" style="7" bestFit="1" customWidth="1"/>
    <col min="123" max="123" width="48.44140625" style="7" customWidth="1"/>
    <col min="124" max="124" width="4.88671875" style="7" bestFit="1" customWidth="1"/>
    <col min="125" max="125" width="12.33203125" style="7" customWidth="1"/>
    <col min="126" max="126" width="12.6640625" style="7" customWidth="1"/>
    <col min="127" max="127" width="14" style="7" bestFit="1" customWidth="1"/>
    <col min="128" max="128" width="12.44140625" style="7" bestFit="1" customWidth="1"/>
    <col min="129" max="129" width="14" style="7" bestFit="1" customWidth="1"/>
    <col min="130" max="130" width="5.6640625" style="7" bestFit="1" customWidth="1"/>
    <col min="131" max="131" width="31.6640625" style="7" customWidth="1"/>
    <col min="132" max="132" width="4.88671875" style="7" bestFit="1" customWidth="1"/>
    <col min="133" max="133" width="14" style="7" bestFit="1" customWidth="1"/>
    <col min="134" max="134" width="11.6640625" style="7" bestFit="1" customWidth="1"/>
    <col min="135" max="135" width="11.88671875" style="7" customWidth="1"/>
    <col min="136" max="136" width="12.33203125" style="7" bestFit="1" customWidth="1"/>
    <col min="137" max="137" width="13.5546875" style="7" bestFit="1" customWidth="1"/>
    <col min="138" max="138" width="5.44140625" style="7" bestFit="1" customWidth="1"/>
    <col min="139" max="139" width="30.6640625" style="7" bestFit="1" customWidth="1"/>
    <col min="140" max="140" width="4.109375" style="7" customWidth="1"/>
    <col min="141" max="142" width="16.44140625" style="7" bestFit="1" customWidth="1"/>
    <col min="143" max="143" width="14.109375" style="7" customWidth="1"/>
    <col min="144" max="144" width="16.5546875" style="7" customWidth="1"/>
    <col min="145" max="145" width="17" style="7" bestFit="1" customWidth="1"/>
    <col min="146" max="146" width="7.5546875" style="7" customWidth="1"/>
    <col min="147" max="147" width="60" style="7" customWidth="1"/>
    <col min="148" max="148" width="4.5546875" style="7" customWidth="1"/>
    <col min="149" max="149" width="15.88671875" style="7" customWidth="1"/>
    <col min="150" max="150" width="14.6640625" style="7" customWidth="1"/>
    <col min="151" max="151" width="15.5546875" style="7" customWidth="1"/>
    <col min="152" max="152" width="14.33203125" style="7" customWidth="1"/>
    <col min="153" max="153" width="13.6640625" style="7" customWidth="1"/>
    <col min="154" max="154" width="5.44140625" style="7" bestFit="1" customWidth="1"/>
    <col min="155" max="155" width="46.33203125" style="7" bestFit="1" customWidth="1"/>
    <col min="156" max="156" width="9.44140625" style="7" bestFit="1" customWidth="1"/>
    <col min="157" max="157" width="11.88671875" style="7" bestFit="1" customWidth="1"/>
    <col min="158" max="158" width="11.44140625" style="7" bestFit="1" customWidth="1"/>
    <col min="159" max="159" width="13.88671875" style="7" customWidth="1"/>
    <col min="160" max="160" width="12.33203125" style="7" bestFit="1" customWidth="1"/>
    <col min="161" max="161" width="13.5546875" style="7" bestFit="1" customWidth="1"/>
    <col min="162" max="162" width="9.44140625" style="7" bestFit="1" customWidth="1"/>
    <col min="163" max="163" width="67" style="7" bestFit="1" customWidth="1"/>
    <col min="164" max="164" width="7.33203125" style="7" customWidth="1"/>
    <col min="165" max="165" width="13.6640625" style="7" customWidth="1"/>
    <col min="166" max="166" width="12.33203125" style="7" customWidth="1"/>
    <col min="167" max="167" width="14" style="7" bestFit="1" customWidth="1"/>
    <col min="168" max="168" width="12.33203125" style="7" bestFit="1" customWidth="1"/>
    <col min="169" max="169" width="14.88671875" style="7" customWidth="1"/>
    <col min="170" max="170" width="5.44140625" style="7" bestFit="1" customWidth="1"/>
    <col min="171" max="171" width="71.88671875" style="7" bestFit="1" customWidth="1"/>
    <col min="172" max="175" width="9.44140625" style="7" bestFit="1" customWidth="1"/>
    <col min="176" max="176" width="12.88671875" style="7" bestFit="1" customWidth="1"/>
    <col min="177" max="177" width="14" style="7" bestFit="1" customWidth="1"/>
    <col min="178" max="178" width="5.44140625" style="7" bestFit="1" customWidth="1"/>
    <col min="179" max="179" width="36.33203125" style="7" bestFit="1" customWidth="1"/>
    <col min="180" max="180" width="5.33203125" style="7" bestFit="1" customWidth="1"/>
    <col min="181" max="182" width="12.5546875" style="7" bestFit="1" customWidth="1"/>
    <col min="183" max="183" width="13.88671875" style="7" bestFit="1" customWidth="1"/>
    <col min="184" max="184" width="12.5546875" style="7" bestFit="1" customWidth="1"/>
    <col min="185" max="185" width="14" style="7" bestFit="1" customWidth="1"/>
    <col min="186" max="186" width="9.44140625" style="7" bestFit="1" customWidth="1"/>
    <col min="187" max="187" width="47" style="7" customWidth="1"/>
    <col min="188" max="188" width="6.88671875" style="7" customWidth="1"/>
    <col min="189" max="190" width="12.6640625" style="7" customWidth="1"/>
    <col min="191" max="191" width="14.5546875" style="7" customWidth="1"/>
    <col min="192" max="192" width="15.33203125" style="7" bestFit="1" customWidth="1"/>
    <col min="193" max="193" width="14.44140625" style="7" customWidth="1"/>
    <col min="194" max="194" width="9.44140625" style="7" bestFit="1" customWidth="1"/>
    <col min="195" max="195" width="47" style="7" customWidth="1"/>
    <col min="196" max="196" width="6.88671875" style="7" customWidth="1"/>
    <col min="197" max="198" width="12.6640625" style="7" customWidth="1"/>
    <col min="199" max="199" width="14.5546875" style="7" customWidth="1"/>
    <col min="200" max="200" width="12.88671875" style="7" customWidth="1"/>
    <col min="201" max="201" width="14.44140625" style="7" customWidth="1"/>
    <col min="202" max="202" width="8.33203125" style="3" customWidth="1"/>
    <col min="203" max="203" width="34.5546875" style="3" bestFit="1" customWidth="1"/>
    <col min="204" max="204" width="6" style="3" customWidth="1"/>
    <col min="205" max="208" width="13.88671875" style="3" bestFit="1" customWidth="1"/>
    <col min="209" max="209" width="14" style="3" bestFit="1" customWidth="1"/>
    <col min="210" max="210" width="9.44140625" style="7" bestFit="1" customWidth="1"/>
    <col min="211" max="211" width="27.6640625" style="7" customWidth="1"/>
    <col min="212" max="212" width="11.109375" style="7" customWidth="1"/>
    <col min="213" max="215" width="14.6640625" style="7" customWidth="1"/>
    <col min="216" max="216" width="12.5546875" style="7" bestFit="1" customWidth="1"/>
    <col min="217" max="217" width="14" style="7" bestFit="1" customWidth="1"/>
    <col min="218" max="218" width="9.44140625" style="7" bestFit="1" customWidth="1"/>
    <col min="219" max="219" width="38.33203125" style="7" customWidth="1"/>
    <col min="220" max="220" width="8.44140625" style="7" customWidth="1"/>
    <col min="221" max="221" width="12.88671875" style="7" customWidth="1"/>
    <col min="222" max="222" width="13.5546875" style="7" bestFit="1" customWidth="1"/>
    <col min="223" max="223" width="13.33203125" style="7" customWidth="1"/>
    <col min="224" max="224" width="13.5546875" style="7" bestFit="1" customWidth="1"/>
    <col min="225" max="225" width="14" style="7" bestFit="1" customWidth="1"/>
    <col min="226" max="226" width="9.44140625" style="7" bestFit="1" customWidth="1"/>
    <col min="227" max="227" width="69" style="7" customWidth="1"/>
    <col min="228" max="228" width="7.33203125" style="7" bestFit="1" customWidth="1"/>
    <col min="229" max="231" width="14.6640625" style="7" customWidth="1"/>
    <col min="232" max="232" width="12.33203125" style="7" bestFit="1" customWidth="1"/>
    <col min="233" max="233" width="13.88671875" style="7" bestFit="1" customWidth="1"/>
    <col min="234" max="234" width="9.33203125" style="7" bestFit="1" customWidth="1"/>
    <col min="235" max="235" width="40.6640625" style="7" bestFit="1" customWidth="1"/>
    <col min="236" max="236" width="8.44140625" style="7" customWidth="1"/>
    <col min="237" max="237" width="10.6640625" style="7" bestFit="1" customWidth="1"/>
    <col min="238" max="238" width="9.44140625" style="7" bestFit="1" customWidth="1"/>
    <col min="239" max="239" width="12" style="7" customWidth="1"/>
    <col min="240" max="240" width="13.6640625" style="7" customWidth="1"/>
    <col min="241" max="241" width="13.88671875" style="7" bestFit="1" customWidth="1"/>
    <col min="242" max="16384" width="9.109375" style="7"/>
  </cols>
  <sheetData>
    <row r="1" spans="1:241" s="49" customFormat="1" ht="14.4" customHeight="1" thickBot="1" x14ac:dyDescent="0.3">
      <c r="G1" s="49">
        <f>ROUND('Detailed Summary'!D44-F45,0)</f>
        <v>0</v>
      </c>
      <c r="H1" s="49">
        <f>ROUND('Detailed Summary'!AA44-H45,0)</f>
        <v>0</v>
      </c>
      <c r="P1" s="49">
        <f>ROUND(+'Detailed Summary'!AB44-P32,0)</f>
        <v>0</v>
      </c>
      <c r="AD1" s="49">
        <f>ROUND(+'Detailed Summary'!G44-AD22+AD24,0)</f>
        <v>0</v>
      </c>
      <c r="AF1" s="49">
        <f>ROUND(+'Detailed Summary'!AC44-AF22,0)</f>
        <v>0</v>
      </c>
      <c r="AL1" s="49">
        <f>ROUND(+'Detailed Summary'!H44-AL45,0)</f>
        <v>0</v>
      </c>
      <c r="AT1" s="49">
        <f>ROUND(+'Detailed Summary'!I44-AT21,0)</f>
        <v>0</v>
      </c>
      <c r="BB1" s="49">
        <f>ROUND(+'Detailed Summary'!J44-BB19,0)</f>
        <v>0</v>
      </c>
      <c r="BK1" s="49">
        <f>ROUND(+'Detailed Summary'!K44-BK30,0)</f>
        <v>0</v>
      </c>
      <c r="BS1" s="49">
        <f>ROUND(+'Detailed Summary'!L44-BS20,0)</f>
        <v>0</v>
      </c>
      <c r="BU1" s="49">
        <f>ROUND(+'Detailed Summary'!AD44-BU20,0)</f>
        <v>0</v>
      </c>
      <c r="CA1" s="49">
        <f>ROUND(+'Detailed Summary'!M44-CA22,0)</f>
        <v>0</v>
      </c>
      <c r="CC1" s="49">
        <f>ROUND(+'Detailed Summary'!AE44-CC22,0)</f>
        <v>0</v>
      </c>
      <c r="CI1" s="49">
        <f>ROUND(+'Detailed Summary'!N44-CI16,0)</f>
        <v>0</v>
      </c>
      <c r="CQ1" s="49">
        <f>ROUND(+'Detailed Summary'!O44-CQ20,0)</f>
        <v>0</v>
      </c>
      <c r="CY1" s="49">
        <f>ROUND(+'Detailed Summary'!P44-CY19,0)</f>
        <v>0</v>
      </c>
      <c r="DG1" s="49">
        <f>ROUND(+'Detailed Summary'!AF44-DI19,0)</f>
        <v>0</v>
      </c>
      <c r="DO1" s="49">
        <f>ROUND(+'Detailed Summary'!R44-DO31,0)</f>
        <v>0</v>
      </c>
      <c r="DQ1" s="49">
        <f>ROUND(+'Detailed Summary'!AG44-DQ31,0)</f>
        <v>0</v>
      </c>
      <c r="DW1" s="49">
        <f>ROUND(+'Detailed Summary'!S44-DW34,0)</f>
        <v>0</v>
      </c>
      <c r="DY1" s="49">
        <f>ROUND(+'Detailed Summary'!AH44-DY34,0)</f>
        <v>0</v>
      </c>
      <c r="EE1" s="49">
        <f>ROUND('Detailed Summary'!T44-EE25,0)</f>
        <v>0</v>
      </c>
      <c r="EG1" s="49">
        <f>ROUND(+'Detailed Summary'!AI44-EG25,0)</f>
        <v>0</v>
      </c>
      <c r="EM1" s="49">
        <f>ROUND(+'Detailed Summary'!U57-EM20,0)</f>
        <v>0</v>
      </c>
      <c r="EU1" s="49">
        <f>'Detailed Summary'!V44-'Common Adj'!EU26</f>
        <v>0</v>
      </c>
      <c r="EV1" s="49">
        <f>'Detailed Summary'!V57-'Common Adj'!EU31</f>
        <v>0</v>
      </c>
      <c r="FE1" s="49">
        <f>+'Detailed Summary'!AJ44-FE20</f>
        <v>0</v>
      </c>
      <c r="FM1" s="49">
        <f>ROUND(+'Detailed Summary'!AK44-FM19,0)</f>
        <v>0</v>
      </c>
      <c r="FT1" s="49">
        <f>ROUND(+'Detailed Summary'!AL57-FU26,0)</f>
        <v>0</v>
      </c>
      <c r="FU1" s="49">
        <f>ROUND(+'Detailed Summary'!AL44-FU38,0)</f>
        <v>0</v>
      </c>
      <c r="GC1" s="49">
        <f>ROUND(+'Detailed Summary'!AM44-GC32,0)</f>
        <v>0</v>
      </c>
      <c r="GJ1" s="49">
        <f>ROUND(+'Detailed Summary'!AN57-GK27,0)</f>
        <v>0</v>
      </c>
      <c r="GK1" s="49">
        <f>ROUND(+'Detailed Summary'!AN44-GK38,0)</f>
        <v>0</v>
      </c>
      <c r="GS1" s="49">
        <f>ROUND(+'Detailed Summary'!AO44-GS20,0)</f>
        <v>0</v>
      </c>
      <c r="GZ1" s="49">
        <f>ROUND(+'Detailed Summary'!AP57-HA16,0)</f>
        <v>0</v>
      </c>
      <c r="HA1" s="49">
        <f>ROUND(+'Detailed Summary'!AP44+HA20,0)</f>
        <v>0</v>
      </c>
      <c r="HH1" s="49">
        <f>ROUND(+'Detailed Summary'!AQ57-HI18,0)</f>
        <v>0</v>
      </c>
      <c r="HI1" s="49">
        <f>ROUND(+'Detailed Summary'!AQ44-HI27,0)</f>
        <v>0</v>
      </c>
      <c r="HQ1" s="49">
        <f>ROUND(+'Detailed Summary'!AR44-HQ22,0)</f>
        <v>0</v>
      </c>
      <c r="HX1" s="49">
        <f>ROUND(+'Detailed Summary'!AS44-HY30,0)</f>
        <v>0</v>
      </c>
      <c r="HY1" s="49">
        <f>ROUND(+'Detailed Summary'!AS57-HY19,0)</f>
        <v>0</v>
      </c>
    </row>
    <row r="2" spans="1:241" x14ac:dyDescent="0.25">
      <c r="G2" s="211"/>
      <c r="H2" s="295" t="str">
        <f>DOCKETNUMBER_GAS</f>
        <v>UG_________</v>
      </c>
      <c r="N2" s="297"/>
      <c r="O2" s="211"/>
      <c r="P2" s="295" t="str">
        <f>DOCKETNUMBER_GAS</f>
        <v>UG_________</v>
      </c>
      <c r="W2" s="211"/>
      <c r="X2" s="295" t="str">
        <f>DOCKETNUMBER_GAS</f>
        <v>UG_________</v>
      </c>
      <c r="AE2" s="338"/>
      <c r="AF2" s="295" t="str">
        <f>DOCKETNUMBER_GAS</f>
        <v>UG_________</v>
      </c>
      <c r="AM2" s="338"/>
      <c r="AN2" s="295" t="str">
        <f>DOCKETNUMBER_GAS</f>
        <v>UG_________</v>
      </c>
      <c r="AU2" s="338"/>
      <c r="AV2" s="295" t="str">
        <f>DOCKETNUMBER_GAS</f>
        <v>UG_________</v>
      </c>
      <c r="BD2" s="338"/>
      <c r="BE2" s="295" t="str">
        <f>DOCKETNUMBER_GAS</f>
        <v>UG_________</v>
      </c>
      <c r="BL2" s="338"/>
      <c r="BM2" s="295" t="str">
        <f>DOCKETNUMBER_GAS</f>
        <v>UG_________</v>
      </c>
      <c r="BT2" s="338"/>
      <c r="BU2" s="295" t="str">
        <f>DOCKETNUMBER_GAS</f>
        <v>UG_________</v>
      </c>
      <c r="CB2" s="338"/>
      <c r="CC2" s="295" t="str">
        <f>DOCKETNUMBER_GAS</f>
        <v>UG_________</v>
      </c>
      <c r="CJ2" s="338"/>
      <c r="CK2" s="295" t="str">
        <f>DOCKETNUMBER_GAS</f>
        <v>UG_________</v>
      </c>
      <c r="CR2" s="338"/>
      <c r="CS2" s="295" t="str">
        <f>DOCKETNUMBER_GAS</f>
        <v>UG_________</v>
      </c>
      <c r="CZ2" s="338"/>
      <c r="DA2" s="295" t="str">
        <f>DOCKETNUMBER_GAS</f>
        <v>UG_________</v>
      </c>
      <c r="DH2" s="338"/>
      <c r="DI2" s="295" t="str">
        <f>DOCKETNUMBER_GAS</f>
        <v>UG_________</v>
      </c>
      <c r="DP2" s="338"/>
      <c r="DQ2" s="295" t="str">
        <f>DOCKETNUMBER_GAS</f>
        <v>UG_________</v>
      </c>
      <c r="DX2" s="338"/>
      <c r="DY2" s="295" t="str">
        <f>DOCKETNUMBER_GAS</f>
        <v>UG_________</v>
      </c>
      <c r="EF2" s="338"/>
      <c r="EG2" s="295" t="str">
        <f>DOCKETNUMBER_GAS</f>
        <v>UG_________</v>
      </c>
      <c r="EN2" s="338"/>
      <c r="EO2" s="295" t="str">
        <f>DOCKETNUMBER_GAS</f>
        <v>UG_________</v>
      </c>
      <c r="EV2" s="338"/>
      <c r="EW2" s="295" t="str">
        <f>DOCKETNUMBER_GAS</f>
        <v>UG_________</v>
      </c>
      <c r="FD2" s="338"/>
      <c r="FE2" s="295" t="str">
        <f>DOCKETNUMBER_GAS</f>
        <v>UG_________</v>
      </c>
      <c r="FL2" s="338"/>
      <c r="FM2" s="295" t="str">
        <f>DOCKETNUMBER_GAS</f>
        <v>UG_________</v>
      </c>
      <c r="FT2" s="338"/>
      <c r="FU2" s="295" t="str">
        <f>DOCKETNUMBER_GAS</f>
        <v>UG_________</v>
      </c>
      <c r="GB2" s="338"/>
      <c r="GC2" s="295" t="str">
        <f>DOCKETNUMBER_GAS</f>
        <v>UG_________</v>
      </c>
      <c r="GJ2" s="338"/>
      <c r="GK2" s="295" t="str">
        <f>DOCKETNUMBER_GAS</f>
        <v>UG_________</v>
      </c>
      <c r="GR2" s="338"/>
      <c r="GS2" s="295" t="str">
        <f>DOCKETNUMBER_GAS</f>
        <v>UG_________</v>
      </c>
      <c r="GZ2" s="338"/>
      <c r="HA2" s="295" t="str">
        <f>DOCKETNUMBER_GAS</f>
        <v>UG_________</v>
      </c>
      <c r="HH2" s="338"/>
      <c r="HI2" s="295" t="str">
        <f>DOCKETNUMBER_GAS</f>
        <v>UG_________</v>
      </c>
      <c r="HP2" s="338"/>
      <c r="HQ2" s="295" t="str">
        <f>DOCKETNUMBER_GAS</f>
        <v>UG_________</v>
      </c>
      <c r="HR2" s="3"/>
      <c r="HS2" s="3"/>
      <c r="HT2" s="3"/>
      <c r="HU2" s="3"/>
      <c r="HV2" s="3"/>
      <c r="HW2" s="3"/>
      <c r="HX2" s="338"/>
      <c r="HY2" s="295" t="str">
        <f>DOCKETNUMBER_GAS</f>
        <v>UG_________</v>
      </c>
      <c r="HZ2" s="3"/>
      <c r="IA2" s="3"/>
      <c r="IB2" s="3"/>
      <c r="IC2" s="3"/>
      <c r="ID2" s="3"/>
      <c r="IE2" s="3"/>
      <c r="IF2" s="338"/>
      <c r="IG2" s="295" t="str">
        <f>DOCKETNUMBER_GAS</f>
        <v>UG_________</v>
      </c>
    </row>
    <row r="3" spans="1:241" ht="14.4" thickBot="1" x14ac:dyDescent="0.3">
      <c r="G3" s="212"/>
      <c r="H3" s="339" t="s">
        <v>591</v>
      </c>
      <c r="N3" s="297"/>
      <c r="O3" s="212"/>
      <c r="P3" s="339" t="s">
        <v>592</v>
      </c>
      <c r="W3" s="212"/>
      <c r="X3" s="339" t="s">
        <v>593</v>
      </c>
      <c r="AE3" s="340"/>
      <c r="AF3" s="340" t="s">
        <v>594</v>
      </c>
      <c r="AM3" s="340"/>
      <c r="AN3" s="340" t="s">
        <v>595</v>
      </c>
      <c r="AU3" s="340"/>
      <c r="AV3" s="340" t="s">
        <v>596</v>
      </c>
      <c r="BD3" s="340"/>
      <c r="BE3" s="340" t="s">
        <v>597</v>
      </c>
      <c r="BL3" s="340"/>
      <c r="BM3" s="340" t="s">
        <v>598</v>
      </c>
      <c r="BT3" s="340"/>
      <c r="BU3" s="340" t="s">
        <v>599</v>
      </c>
      <c r="CB3" s="340"/>
      <c r="CC3" s="340" t="s">
        <v>600</v>
      </c>
      <c r="CJ3" s="340"/>
      <c r="CK3" s="340" t="s">
        <v>601</v>
      </c>
      <c r="CR3" s="340"/>
      <c r="CS3" s="340" t="s">
        <v>602</v>
      </c>
      <c r="CZ3" s="340"/>
      <c r="DA3" s="340" t="s">
        <v>603</v>
      </c>
      <c r="DH3" s="340"/>
      <c r="DI3" s="340" t="s">
        <v>604</v>
      </c>
      <c r="DP3" s="340"/>
      <c r="DQ3" s="340" t="s">
        <v>605</v>
      </c>
      <c r="DX3" s="340"/>
      <c r="DY3" s="340" t="s">
        <v>619</v>
      </c>
      <c r="EF3" s="340"/>
      <c r="EG3" s="340" t="s">
        <v>606</v>
      </c>
      <c r="EN3" s="340"/>
      <c r="EO3" s="340" t="s">
        <v>607</v>
      </c>
      <c r="EV3" s="340"/>
      <c r="EW3" s="340" t="s">
        <v>608</v>
      </c>
      <c r="FD3" s="340"/>
      <c r="FE3" s="340" t="s">
        <v>596</v>
      </c>
      <c r="FL3" s="340"/>
      <c r="FM3" s="340" t="s">
        <v>609</v>
      </c>
      <c r="FT3" s="340"/>
      <c r="FU3" s="340" t="s">
        <v>610</v>
      </c>
      <c r="GB3" s="340"/>
      <c r="GC3" s="340" t="s">
        <v>611</v>
      </c>
      <c r="GJ3" s="340"/>
      <c r="GK3" s="340" t="s">
        <v>612</v>
      </c>
      <c r="GR3" s="340"/>
      <c r="GS3" s="340" t="s">
        <v>613</v>
      </c>
      <c r="GZ3" s="340"/>
      <c r="HA3" s="340" t="s">
        <v>614</v>
      </c>
      <c r="HH3" s="340"/>
      <c r="HI3" s="340" t="s">
        <v>615</v>
      </c>
      <c r="HP3" s="340"/>
      <c r="HQ3" s="340" t="s">
        <v>616</v>
      </c>
      <c r="HR3" s="3"/>
      <c r="HS3" s="3"/>
      <c r="HT3" s="3"/>
      <c r="HU3" s="3"/>
      <c r="HV3" s="3"/>
      <c r="HW3" s="3"/>
      <c r="HX3" s="340"/>
      <c r="HY3" s="340" t="s">
        <v>617</v>
      </c>
      <c r="HZ3" s="3"/>
      <c r="IA3" s="3"/>
      <c r="IB3" s="3"/>
      <c r="IC3" s="3"/>
      <c r="ID3" s="3"/>
      <c r="IE3" s="3"/>
      <c r="IF3" s="340"/>
      <c r="IG3" s="340" t="s">
        <v>617</v>
      </c>
    </row>
    <row r="4" spans="1:241" s="33" customFormat="1" x14ac:dyDescent="0.25">
      <c r="A4" s="341"/>
      <c r="B4" s="341"/>
      <c r="C4" s="341"/>
      <c r="D4" s="341"/>
      <c r="E4" s="341"/>
      <c r="F4" s="341"/>
      <c r="G4" s="341"/>
      <c r="EO4" s="213"/>
      <c r="GT4" s="209"/>
      <c r="GU4" s="209"/>
      <c r="GV4" s="209"/>
      <c r="GW4" s="209"/>
      <c r="GX4" s="209"/>
      <c r="GY4" s="209"/>
      <c r="GZ4" s="209"/>
      <c r="HA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</row>
    <row r="5" spans="1:241" s="209" customFormat="1" ht="13.2" x14ac:dyDescent="0.25">
      <c r="A5" s="2" t="str">
        <f>Comp_GAS</f>
        <v>PUGET SOUND ENERGY - NATURAL GAS</v>
      </c>
      <c r="B5" s="2"/>
      <c r="C5" s="2"/>
      <c r="D5" s="2"/>
      <c r="E5" s="2"/>
      <c r="F5" s="2"/>
      <c r="G5" s="2"/>
      <c r="H5" s="2"/>
      <c r="I5" s="2" t="str">
        <f>Comp_GAS</f>
        <v>PUGET SOUND ENERGY - NATURAL GAS</v>
      </c>
      <c r="J5" s="2"/>
      <c r="K5" s="2"/>
      <c r="L5" s="2"/>
      <c r="M5" s="2"/>
      <c r="N5" s="2"/>
      <c r="O5" s="2"/>
      <c r="P5" s="2"/>
      <c r="Q5" s="2" t="str">
        <f>Comp_GAS</f>
        <v>PUGET SOUND ENERGY - NATURAL GAS</v>
      </c>
      <c r="R5" s="2"/>
      <c r="S5" s="2"/>
      <c r="T5" s="2"/>
      <c r="U5" s="2"/>
      <c r="V5" s="2"/>
      <c r="W5" s="2"/>
      <c r="X5" s="2"/>
      <c r="Y5" s="2" t="str">
        <f>Comp_GAS</f>
        <v>PUGET SOUND ENERGY - NATURAL GAS</v>
      </c>
      <c r="Z5" s="2"/>
      <c r="AA5" s="2"/>
      <c r="AB5" s="2"/>
      <c r="AC5" s="2"/>
      <c r="AD5" s="2"/>
      <c r="AE5" s="2"/>
      <c r="AF5" s="2"/>
      <c r="AG5" s="2" t="str">
        <f>Comp_GAS</f>
        <v>PUGET SOUND ENERGY - NATURAL GAS</v>
      </c>
      <c r="AH5" s="2"/>
      <c r="AI5" s="2"/>
      <c r="AJ5" s="2"/>
      <c r="AK5" s="2"/>
      <c r="AL5" s="2"/>
      <c r="AM5" s="2"/>
      <c r="AN5" s="2"/>
      <c r="AO5" s="2" t="str">
        <f>Comp_GAS</f>
        <v>PUGET SOUND ENERGY - NATURAL GAS</v>
      </c>
      <c r="AP5" s="2"/>
      <c r="AQ5" s="2"/>
      <c r="AR5" s="2"/>
      <c r="AS5" s="2"/>
      <c r="AT5" s="2"/>
      <c r="AU5" s="2"/>
      <c r="AV5" s="2"/>
      <c r="AW5" s="2" t="str">
        <f>Comp_GAS</f>
        <v>PUGET SOUND ENERGY - NATURAL GAS</v>
      </c>
      <c r="AX5" s="2"/>
      <c r="AY5" s="2"/>
      <c r="AZ5" s="2"/>
      <c r="BA5" s="2"/>
      <c r="BB5" s="2"/>
      <c r="BC5" s="2"/>
      <c r="BD5" s="2"/>
      <c r="BE5" s="2"/>
      <c r="BF5" s="2" t="str">
        <f>Comp_GAS</f>
        <v>PUGET SOUND ENERGY - NATURAL GAS</v>
      </c>
      <c r="BG5" s="2"/>
      <c r="BH5" s="2"/>
      <c r="BI5" s="2"/>
      <c r="BJ5" s="2"/>
      <c r="BK5" s="2"/>
      <c r="BL5" s="2"/>
      <c r="BM5" s="2"/>
      <c r="BN5" s="2" t="str">
        <f>Comp_GAS</f>
        <v>PUGET SOUND ENERGY - NATURAL GAS</v>
      </c>
      <c r="BO5" s="2"/>
      <c r="BP5" s="2"/>
      <c r="BQ5" s="2"/>
      <c r="BR5" s="2"/>
      <c r="BS5" s="2"/>
      <c r="BT5" s="2"/>
      <c r="BU5" s="2"/>
      <c r="BV5" s="2" t="str">
        <f>Comp_GAS</f>
        <v>PUGET SOUND ENERGY - NATURAL GAS</v>
      </c>
      <c r="BW5" s="2"/>
      <c r="BX5" s="2"/>
      <c r="BY5" s="2"/>
      <c r="BZ5" s="2"/>
      <c r="CA5" s="2"/>
      <c r="CB5" s="2"/>
      <c r="CC5" s="2"/>
      <c r="CD5" s="2" t="str">
        <f>Comp_GAS</f>
        <v>PUGET SOUND ENERGY - NATURAL GAS</v>
      </c>
      <c r="CE5" s="2"/>
      <c r="CF5" s="2"/>
      <c r="CG5" s="2"/>
      <c r="CH5" s="2"/>
      <c r="CI5" s="2"/>
      <c r="CJ5" s="2"/>
      <c r="CK5" s="2"/>
      <c r="CL5" s="2" t="str">
        <f>Comp_GAS</f>
        <v>PUGET SOUND ENERGY - NATURAL GAS</v>
      </c>
      <c r="CM5" s="2"/>
      <c r="CN5" s="2"/>
      <c r="CO5" s="2"/>
      <c r="CP5" s="2"/>
      <c r="CQ5" s="2"/>
      <c r="CR5" s="2"/>
      <c r="CS5" s="2"/>
      <c r="CT5" s="2" t="str">
        <f>Comp_GAS</f>
        <v>PUGET SOUND ENERGY - NATURAL GAS</v>
      </c>
      <c r="CU5" s="2"/>
      <c r="CV5" s="2"/>
      <c r="CW5" s="2"/>
      <c r="CX5" s="2"/>
      <c r="CY5" s="2"/>
      <c r="CZ5" s="2"/>
      <c r="DA5" s="2"/>
      <c r="DB5" s="2" t="str">
        <f>Comp_GAS</f>
        <v>PUGET SOUND ENERGY - NATURAL GAS</v>
      </c>
      <c r="DC5" s="2"/>
      <c r="DD5" s="2"/>
      <c r="DE5" s="2"/>
      <c r="DF5" s="2"/>
      <c r="DG5" s="2"/>
      <c r="DH5" s="2"/>
      <c r="DI5" s="2"/>
      <c r="DJ5" s="2" t="str">
        <f>Comp_GAS</f>
        <v>PUGET SOUND ENERGY - NATURAL GAS</v>
      </c>
      <c r="DK5" s="2"/>
      <c r="DL5" s="2"/>
      <c r="DM5" s="2"/>
      <c r="DN5" s="2"/>
      <c r="DO5" s="2"/>
      <c r="DP5" s="2"/>
      <c r="DQ5" s="2"/>
      <c r="DR5" s="2" t="str">
        <f>Comp_GAS</f>
        <v>PUGET SOUND ENERGY - NATURAL GAS</v>
      </c>
      <c r="DS5" s="2"/>
      <c r="DT5" s="2"/>
      <c r="DU5" s="2"/>
      <c r="DV5" s="2"/>
      <c r="DW5" s="2"/>
      <c r="DX5" s="2"/>
      <c r="DY5" s="2"/>
      <c r="DZ5" s="2" t="str">
        <f>Comp_GAS</f>
        <v>PUGET SOUND ENERGY - NATURAL GAS</v>
      </c>
      <c r="EA5" s="2"/>
      <c r="EB5" s="2"/>
      <c r="EC5" s="2"/>
      <c r="ED5" s="2"/>
      <c r="EE5" s="2"/>
      <c r="EF5" s="2"/>
      <c r="EG5" s="2"/>
      <c r="EH5" s="2" t="str">
        <f>Comp_GAS</f>
        <v>PUGET SOUND ENERGY - NATURAL GAS</v>
      </c>
      <c r="EI5" s="2"/>
      <c r="EJ5" s="2"/>
      <c r="EK5" s="2"/>
      <c r="EL5" s="2"/>
      <c r="EM5" s="2"/>
      <c r="EN5" s="2"/>
      <c r="EO5" s="2"/>
      <c r="EP5" s="671" t="str">
        <f>Comp_GAS</f>
        <v>PUGET SOUND ENERGY - NATURAL GAS</v>
      </c>
      <c r="EQ5" s="671"/>
      <c r="ER5" s="671"/>
      <c r="ES5" s="671"/>
      <c r="ET5" s="671"/>
      <c r="EU5" s="671"/>
      <c r="EV5" s="671"/>
      <c r="EW5" s="671"/>
      <c r="EX5" s="2" t="str">
        <f>Comp_GAS</f>
        <v>PUGET SOUND ENERGY - NATURAL GAS</v>
      </c>
      <c r="EY5" s="2"/>
      <c r="EZ5" s="2"/>
      <c r="FA5" s="2"/>
      <c r="FB5" s="2"/>
      <c r="FC5" s="2"/>
      <c r="FD5" s="2"/>
      <c r="FE5" s="2"/>
      <c r="FF5" s="2" t="str">
        <f>Comp_GAS</f>
        <v>PUGET SOUND ENERGY - NATURAL GAS</v>
      </c>
      <c r="FG5" s="2"/>
      <c r="FH5" s="2"/>
      <c r="FI5" s="2"/>
      <c r="FJ5" s="2"/>
      <c r="FK5" s="2"/>
      <c r="FL5" s="2"/>
      <c r="FM5" s="2"/>
      <c r="FN5" s="671" t="str">
        <f>Comp_GAS</f>
        <v>PUGET SOUND ENERGY - NATURAL GAS</v>
      </c>
      <c r="FO5" s="671"/>
      <c r="FP5" s="671"/>
      <c r="FQ5" s="671"/>
      <c r="FR5" s="671"/>
      <c r="FS5" s="671"/>
      <c r="FT5" s="671"/>
      <c r="FU5" s="671"/>
      <c r="FV5" s="2" t="str">
        <f>Comp_GAS</f>
        <v>PUGET SOUND ENERGY - NATURAL GAS</v>
      </c>
      <c r="FW5" s="2"/>
      <c r="FX5" s="2"/>
      <c r="FY5" s="2"/>
      <c r="FZ5" s="2"/>
      <c r="GA5" s="2"/>
      <c r="GB5" s="2"/>
      <c r="GC5" s="2"/>
      <c r="GD5" s="671" t="str">
        <f>Comp_GAS</f>
        <v>PUGET SOUND ENERGY - NATURAL GAS</v>
      </c>
      <c r="GE5" s="671"/>
      <c r="GF5" s="671"/>
      <c r="GG5" s="671"/>
      <c r="GH5" s="671"/>
      <c r="GI5" s="671"/>
      <c r="GJ5" s="671"/>
      <c r="GK5" s="671"/>
      <c r="GL5" s="671" t="str">
        <f>Comp_GAS</f>
        <v>PUGET SOUND ENERGY - NATURAL GAS</v>
      </c>
      <c r="GM5" s="671"/>
      <c r="GN5" s="671"/>
      <c r="GO5" s="671"/>
      <c r="GP5" s="671"/>
      <c r="GQ5" s="671"/>
      <c r="GR5" s="671"/>
      <c r="GS5" s="671"/>
      <c r="GT5" s="2" t="str">
        <f>Comp_GAS</f>
        <v>PUGET SOUND ENERGY - NATURAL GAS</v>
      </c>
      <c r="GU5" s="2"/>
      <c r="GV5" s="2"/>
      <c r="GW5" s="2"/>
      <c r="GX5" s="2"/>
      <c r="GY5" s="2"/>
      <c r="GZ5" s="2"/>
      <c r="HA5" s="2"/>
      <c r="HB5" s="671" t="str">
        <f>Comp_GAS</f>
        <v>PUGET SOUND ENERGY - NATURAL GAS</v>
      </c>
      <c r="HC5" s="671"/>
      <c r="HD5" s="671"/>
      <c r="HE5" s="671"/>
      <c r="HF5" s="671"/>
      <c r="HG5" s="671"/>
      <c r="HH5" s="671"/>
      <c r="HI5" s="671"/>
      <c r="HJ5" s="671" t="str">
        <f>Comp_GAS</f>
        <v>PUGET SOUND ENERGY - NATURAL GAS</v>
      </c>
      <c r="HK5" s="671"/>
      <c r="HL5" s="671"/>
      <c r="HM5" s="671"/>
      <c r="HN5" s="671"/>
      <c r="HO5" s="671"/>
      <c r="HP5" s="671"/>
      <c r="HQ5" s="671"/>
      <c r="HR5" s="671" t="str">
        <f>Comp_GAS</f>
        <v>PUGET SOUND ENERGY - NATURAL GAS</v>
      </c>
      <c r="HS5" s="671"/>
      <c r="HT5" s="671"/>
      <c r="HU5" s="671"/>
      <c r="HV5" s="671"/>
      <c r="HW5" s="671"/>
      <c r="HX5" s="671"/>
      <c r="HY5" s="671"/>
      <c r="HZ5" s="671" t="str">
        <f>Comp_GAS</f>
        <v>PUGET SOUND ENERGY - NATURAL GAS</v>
      </c>
      <c r="IA5" s="671"/>
      <c r="IB5" s="671"/>
      <c r="IC5" s="671"/>
      <c r="ID5" s="671"/>
      <c r="IE5" s="671"/>
      <c r="IF5" s="671"/>
      <c r="IG5" s="671"/>
    </row>
    <row r="6" spans="1:241" s="209" customFormat="1" ht="14.4" customHeight="1" x14ac:dyDescent="0.25">
      <c r="A6" s="2" t="s">
        <v>98</v>
      </c>
      <c r="B6" s="2"/>
      <c r="C6" s="2"/>
      <c r="D6" s="2"/>
      <c r="E6" s="2"/>
      <c r="F6" s="2"/>
      <c r="G6" s="2"/>
      <c r="H6" s="2"/>
      <c r="I6" s="2" t="s">
        <v>91</v>
      </c>
      <c r="J6" s="2"/>
      <c r="K6" s="2"/>
      <c r="L6" s="2"/>
      <c r="M6" s="2"/>
      <c r="N6" s="2"/>
      <c r="O6" s="2"/>
      <c r="P6" s="2"/>
      <c r="Q6" s="2" t="s">
        <v>105</v>
      </c>
      <c r="R6" s="2"/>
      <c r="S6" s="2"/>
      <c r="T6" s="2"/>
      <c r="U6" s="2"/>
      <c r="V6" s="2"/>
      <c r="W6" s="2"/>
      <c r="X6" s="2"/>
      <c r="Y6" s="2" t="s">
        <v>109</v>
      </c>
      <c r="Z6" s="2"/>
      <c r="AA6" s="2"/>
      <c r="AB6" s="2"/>
      <c r="AC6" s="2"/>
      <c r="AD6" s="2"/>
      <c r="AE6" s="2"/>
      <c r="AF6" s="2"/>
      <c r="AG6" s="299" t="s">
        <v>104</v>
      </c>
      <c r="AH6" s="2"/>
      <c r="AI6" s="2"/>
      <c r="AJ6" s="2"/>
      <c r="AK6" s="2"/>
      <c r="AL6" s="2"/>
      <c r="AM6" s="2"/>
      <c r="AN6" s="2"/>
      <c r="AO6" s="2" t="s">
        <v>115</v>
      </c>
      <c r="AP6" s="2"/>
      <c r="AQ6" s="2"/>
      <c r="AR6" s="2"/>
      <c r="AS6" s="2"/>
      <c r="AT6" s="2"/>
      <c r="AU6" s="2"/>
      <c r="AV6" s="2"/>
      <c r="AW6" s="2" t="s">
        <v>69</v>
      </c>
      <c r="AX6" s="2"/>
      <c r="AY6" s="2"/>
      <c r="AZ6" s="2"/>
      <c r="BA6" s="2"/>
      <c r="BB6" s="2"/>
      <c r="BC6" s="2"/>
      <c r="BD6" s="2"/>
      <c r="BE6" s="2"/>
      <c r="BF6" s="342" t="s">
        <v>123</v>
      </c>
      <c r="BG6" s="2"/>
      <c r="BH6" s="2"/>
      <c r="BI6" s="2"/>
      <c r="BJ6" s="2"/>
      <c r="BK6" s="2"/>
      <c r="BL6" s="2"/>
      <c r="BM6" s="2"/>
      <c r="BN6" s="2" t="s">
        <v>130</v>
      </c>
      <c r="BO6" s="2"/>
      <c r="BP6" s="2"/>
      <c r="BQ6" s="2"/>
      <c r="BR6" s="2"/>
      <c r="BS6" s="2"/>
      <c r="BT6" s="2"/>
      <c r="BU6" s="2"/>
      <c r="BV6" s="342" t="s">
        <v>131</v>
      </c>
      <c r="BW6" s="2"/>
      <c r="BX6" s="2"/>
      <c r="BY6" s="2"/>
      <c r="BZ6" s="2"/>
      <c r="CA6" s="2"/>
      <c r="CB6" s="2"/>
      <c r="CC6" s="2"/>
      <c r="CD6" s="299" t="s">
        <v>132</v>
      </c>
      <c r="CE6" s="2"/>
      <c r="CF6" s="2"/>
      <c r="CG6" s="2"/>
      <c r="CH6" s="2"/>
      <c r="CI6" s="2"/>
      <c r="CJ6" s="2"/>
      <c r="CK6" s="2"/>
      <c r="CL6" s="299" t="s">
        <v>134</v>
      </c>
      <c r="CM6" s="2"/>
      <c r="CN6" s="2"/>
      <c r="CO6" s="2"/>
      <c r="CP6" s="2"/>
      <c r="CQ6" s="2"/>
      <c r="CR6" s="2"/>
      <c r="CS6" s="2"/>
      <c r="CT6" s="299" t="s">
        <v>140</v>
      </c>
      <c r="CU6" s="2"/>
      <c r="CV6" s="2"/>
      <c r="CW6" s="2"/>
      <c r="CX6" s="2"/>
      <c r="CY6" s="2"/>
      <c r="CZ6" s="299"/>
      <c r="DA6" s="2"/>
      <c r="DB6" s="299" t="s">
        <v>136</v>
      </c>
      <c r="DC6" s="2"/>
      <c r="DD6" s="2"/>
      <c r="DE6" s="2"/>
      <c r="DF6" s="2"/>
      <c r="DG6" s="2"/>
      <c r="DH6" s="299"/>
      <c r="DI6" s="2"/>
      <c r="DJ6" s="342" t="s">
        <v>142</v>
      </c>
      <c r="DK6" s="2"/>
      <c r="DL6" s="2"/>
      <c r="DM6" s="2"/>
      <c r="DN6" s="2"/>
      <c r="DO6" s="2"/>
      <c r="DP6" s="299"/>
      <c r="DQ6" s="2"/>
      <c r="DR6" s="342" t="s">
        <v>146</v>
      </c>
      <c r="DS6" s="2"/>
      <c r="DT6" s="2"/>
      <c r="DU6" s="2"/>
      <c r="DV6" s="2"/>
      <c r="DW6" s="2"/>
      <c r="DX6" s="299"/>
      <c r="DY6" s="2"/>
      <c r="DZ6" s="342" t="s">
        <v>156</v>
      </c>
      <c r="EA6" s="2"/>
      <c r="EB6" s="2"/>
      <c r="EC6" s="2"/>
      <c r="ED6" s="2"/>
      <c r="EE6" s="2"/>
      <c r="EF6" s="299"/>
      <c r="EG6" s="2"/>
      <c r="EH6" s="299" t="s">
        <v>244</v>
      </c>
      <c r="EI6" s="299"/>
      <c r="EJ6" s="299"/>
      <c r="EK6" s="299"/>
      <c r="EL6" s="299"/>
      <c r="EM6" s="2"/>
      <c r="EN6" s="2"/>
      <c r="EO6" s="299"/>
      <c r="EP6" s="2" t="s">
        <v>283</v>
      </c>
      <c r="EQ6" s="2"/>
      <c r="ER6" s="2"/>
      <c r="ES6" s="2"/>
      <c r="ET6" s="2"/>
      <c r="EU6" s="2"/>
      <c r="EV6" s="2"/>
      <c r="EW6" s="2"/>
      <c r="EX6" s="299" t="s">
        <v>137</v>
      </c>
      <c r="EY6" s="299"/>
      <c r="EZ6" s="299"/>
      <c r="FA6" s="299"/>
      <c r="FB6" s="299"/>
      <c r="FC6" s="2"/>
      <c r="FD6" s="2"/>
      <c r="FE6" s="299"/>
      <c r="FF6" s="342" t="s">
        <v>162</v>
      </c>
      <c r="FG6" s="2"/>
      <c r="FH6" s="2"/>
      <c r="FI6" s="2"/>
      <c r="FJ6" s="2"/>
      <c r="FK6" s="2"/>
      <c r="FL6" s="2"/>
      <c r="FM6" s="2"/>
      <c r="FN6" s="671" t="s">
        <v>185</v>
      </c>
      <c r="FO6" s="671"/>
      <c r="FP6" s="671"/>
      <c r="FQ6" s="671"/>
      <c r="FR6" s="671"/>
      <c r="FS6" s="671"/>
      <c r="FT6" s="671"/>
      <c r="FU6" s="671"/>
      <c r="FV6" s="2" t="s">
        <v>315</v>
      </c>
      <c r="FW6" s="2"/>
      <c r="FX6" s="2"/>
      <c r="FY6" s="2"/>
      <c r="FZ6" s="2"/>
      <c r="GA6" s="2"/>
      <c r="GB6" s="2"/>
      <c r="GC6" s="2"/>
      <c r="GD6" s="299" t="s">
        <v>387</v>
      </c>
      <c r="GE6" s="2"/>
      <c r="GF6" s="2"/>
      <c r="GG6" s="2"/>
      <c r="GH6" s="2"/>
      <c r="GI6" s="2"/>
      <c r="GJ6" s="2"/>
      <c r="GK6" s="2"/>
      <c r="GL6" s="671" t="s">
        <v>314</v>
      </c>
      <c r="GM6" s="671"/>
      <c r="GN6" s="671"/>
      <c r="GO6" s="671"/>
      <c r="GP6" s="671"/>
      <c r="GQ6" s="671"/>
      <c r="GR6" s="671"/>
      <c r="GS6" s="671"/>
      <c r="GT6" s="2" t="s">
        <v>367</v>
      </c>
      <c r="GU6" s="2"/>
      <c r="GV6" s="2"/>
      <c r="GW6" s="2"/>
      <c r="GX6" s="2"/>
      <c r="GY6" s="2"/>
      <c r="GZ6" s="2"/>
      <c r="HA6" s="2"/>
      <c r="HB6" s="671" t="s">
        <v>399</v>
      </c>
      <c r="HC6" s="671"/>
      <c r="HD6" s="671"/>
      <c r="HE6" s="671"/>
      <c r="HF6" s="671"/>
      <c r="HG6" s="671"/>
      <c r="HH6" s="671"/>
      <c r="HI6" s="671"/>
      <c r="HJ6" s="671" t="s">
        <v>364</v>
      </c>
      <c r="HK6" s="671"/>
      <c r="HL6" s="671"/>
      <c r="HM6" s="671"/>
      <c r="HN6" s="671"/>
      <c r="HO6" s="671"/>
      <c r="HP6" s="671"/>
      <c r="HQ6" s="671"/>
      <c r="HR6" s="671" t="s">
        <v>400</v>
      </c>
      <c r="HS6" s="671"/>
      <c r="HT6" s="671"/>
      <c r="HU6" s="671"/>
      <c r="HV6" s="671"/>
      <c r="HW6" s="671"/>
      <c r="HX6" s="671"/>
      <c r="HY6" s="671"/>
      <c r="HZ6" s="671" t="s">
        <v>583</v>
      </c>
      <c r="IA6" s="671"/>
      <c r="IB6" s="671"/>
      <c r="IC6" s="671"/>
      <c r="ID6" s="671"/>
      <c r="IE6" s="671"/>
      <c r="IF6" s="671"/>
      <c r="IG6" s="671"/>
    </row>
    <row r="7" spans="1:241" s="209" customFormat="1" ht="13.2" x14ac:dyDescent="0.25">
      <c r="A7" s="2" t="str">
        <f>TESTYEAR_GAS</f>
        <v>12 MONTHS ENDED DECEMBER 31, 2018</v>
      </c>
      <c r="B7" s="2"/>
      <c r="C7" s="2"/>
      <c r="D7" s="2"/>
      <c r="E7" s="2"/>
      <c r="F7" s="2"/>
      <c r="G7" s="2"/>
      <c r="H7" s="2"/>
      <c r="I7" s="2" t="str">
        <f>TESTYEAR_GAS</f>
        <v>12 MONTHS ENDED DECEMBER 31, 2018</v>
      </c>
      <c r="J7" s="2"/>
      <c r="K7" s="2"/>
      <c r="L7" s="2"/>
      <c r="M7" s="2"/>
      <c r="N7" s="2"/>
      <c r="O7" s="2"/>
      <c r="P7" s="2"/>
      <c r="Q7" s="2" t="str">
        <f>TESTYEAR_GAS</f>
        <v>12 MONTHS ENDED DECEMBER 31, 2018</v>
      </c>
      <c r="R7" s="2"/>
      <c r="S7" s="2"/>
      <c r="T7" s="2"/>
      <c r="U7" s="2"/>
      <c r="V7" s="2"/>
      <c r="W7" s="2"/>
      <c r="X7" s="2"/>
      <c r="Y7" s="2" t="str">
        <f>TESTYEAR_GAS</f>
        <v>12 MONTHS ENDED DECEMBER 31, 2018</v>
      </c>
      <c r="Z7" s="2"/>
      <c r="AA7" s="2"/>
      <c r="AB7" s="2"/>
      <c r="AC7" s="2"/>
      <c r="AD7" s="2"/>
      <c r="AE7" s="2"/>
      <c r="AF7" s="2"/>
      <c r="AG7" s="2" t="str">
        <f>TESTYEAR_GAS</f>
        <v>12 MONTHS ENDED DECEMBER 31, 2018</v>
      </c>
      <c r="AH7" s="2"/>
      <c r="AI7" s="2"/>
      <c r="AJ7" s="2"/>
      <c r="AK7" s="2"/>
      <c r="AL7" s="2"/>
      <c r="AM7" s="2"/>
      <c r="AN7" s="2"/>
      <c r="AO7" s="2" t="str">
        <f>TESTYEAR_GAS</f>
        <v>12 MONTHS ENDED DECEMBER 31, 2018</v>
      </c>
      <c r="AP7" s="2"/>
      <c r="AQ7" s="2"/>
      <c r="AR7" s="2"/>
      <c r="AS7" s="2"/>
      <c r="AT7" s="2"/>
      <c r="AU7" s="2"/>
      <c r="AV7" s="2"/>
      <c r="AW7" s="2" t="str">
        <f>TESTYEAR_GAS</f>
        <v>12 MONTHS ENDED DECEMBER 31, 2018</v>
      </c>
      <c r="AX7" s="2"/>
      <c r="AY7" s="2"/>
      <c r="AZ7" s="2"/>
      <c r="BA7" s="2"/>
      <c r="BB7" s="2"/>
      <c r="BC7" s="2"/>
      <c r="BD7" s="2"/>
      <c r="BE7" s="2"/>
      <c r="BF7" s="2" t="str">
        <f>TESTYEAR_GAS</f>
        <v>12 MONTHS ENDED DECEMBER 31, 2018</v>
      </c>
      <c r="BG7" s="2"/>
      <c r="BH7" s="2"/>
      <c r="BI7" s="2"/>
      <c r="BJ7" s="2"/>
      <c r="BK7" s="2"/>
      <c r="BL7" s="2"/>
      <c r="BM7" s="2"/>
      <c r="BN7" s="2" t="str">
        <f>TESTYEAR_GAS</f>
        <v>12 MONTHS ENDED DECEMBER 31, 2018</v>
      </c>
      <c r="BO7" s="2"/>
      <c r="BP7" s="2"/>
      <c r="BQ7" s="2"/>
      <c r="BR7" s="2"/>
      <c r="BS7" s="2"/>
      <c r="BT7" s="2"/>
      <c r="BU7" s="2"/>
      <c r="BV7" s="2" t="str">
        <f>TESTYEAR_GAS</f>
        <v>12 MONTHS ENDED DECEMBER 31, 2018</v>
      </c>
      <c r="BW7" s="2"/>
      <c r="BX7" s="2"/>
      <c r="BY7" s="2"/>
      <c r="BZ7" s="2"/>
      <c r="CA7" s="2"/>
      <c r="CB7" s="2"/>
      <c r="CC7" s="2"/>
      <c r="CD7" s="2" t="str">
        <f>TESTYEAR_GAS</f>
        <v>12 MONTHS ENDED DECEMBER 31, 2018</v>
      </c>
      <c r="CE7" s="2"/>
      <c r="CF7" s="2"/>
      <c r="CG7" s="2"/>
      <c r="CH7" s="2"/>
      <c r="CI7" s="2"/>
      <c r="CJ7" s="2"/>
      <c r="CK7" s="2"/>
      <c r="CL7" s="2" t="str">
        <f>TESTYEAR_GAS</f>
        <v>12 MONTHS ENDED DECEMBER 31, 2018</v>
      </c>
      <c r="CM7" s="2"/>
      <c r="CN7" s="2"/>
      <c r="CO7" s="2"/>
      <c r="CP7" s="2"/>
      <c r="CQ7" s="2"/>
      <c r="CR7" s="2"/>
      <c r="CS7" s="2"/>
      <c r="CT7" s="2" t="str">
        <f>TESTYEAR_GAS</f>
        <v>12 MONTHS ENDED DECEMBER 31, 2018</v>
      </c>
      <c r="CU7" s="2"/>
      <c r="CV7" s="2"/>
      <c r="CW7" s="2"/>
      <c r="CX7" s="2"/>
      <c r="CY7" s="2"/>
      <c r="CZ7" s="2"/>
      <c r="DA7" s="2"/>
      <c r="DB7" s="2" t="str">
        <f>TESTYEAR_GAS</f>
        <v>12 MONTHS ENDED DECEMBER 31, 2018</v>
      </c>
      <c r="DC7" s="2"/>
      <c r="DD7" s="2"/>
      <c r="DE7" s="2"/>
      <c r="DF7" s="2"/>
      <c r="DG7" s="2"/>
      <c r="DH7" s="2"/>
      <c r="DI7" s="2"/>
      <c r="DJ7" s="2" t="str">
        <f>TESTYEAR_GAS</f>
        <v>12 MONTHS ENDED DECEMBER 31, 2018</v>
      </c>
      <c r="DK7" s="2"/>
      <c r="DL7" s="2"/>
      <c r="DM7" s="2"/>
      <c r="DN7" s="2"/>
      <c r="DO7" s="2"/>
      <c r="DP7" s="2"/>
      <c r="DQ7" s="2"/>
      <c r="DR7" s="2" t="str">
        <f>TESTYEAR_GAS</f>
        <v>12 MONTHS ENDED DECEMBER 31, 2018</v>
      </c>
      <c r="DS7" s="2"/>
      <c r="DT7" s="2"/>
      <c r="DU7" s="2"/>
      <c r="DV7" s="2"/>
      <c r="DW7" s="2"/>
      <c r="DX7" s="2"/>
      <c r="DY7" s="2"/>
      <c r="DZ7" s="2" t="str">
        <f>TESTYEAR_GAS</f>
        <v>12 MONTHS ENDED DECEMBER 31, 2018</v>
      </c>
      <c r="EA7" s="2"/>
      <c r="EB7" s="2"/>
      <c r="EC7" s="2"/>
      <c r="ED7" s="2"/>
      <c r="EE7" s="2"/>
      <c r="EF7" s="2"/>
      <c r="EG7" s="2"/>
      <c r="EH7" s="2" t="str">
        <f>TESTYEAR_GAS</f>
        <v>12 MONTHS ENDED DECEMBER 31, 2018</v>
      </c>
      <c r="EI7" s="2"/>
      <c r="EJ7" s="2"/>
      <c r="EK7" s="2"/>
      <c r="EL7" s="2"/>
      <c r="EM7" s="2"/>
      <c r="EN7" s="2"/>
      <c r="EO7" s="2"/>
      <c r="EP7" s="671" t="str">
        <f>TESTYEAR_GAS</f>
        <v>12 MONTHS ENDED DECEMBER 31, 2018</v>
      </c>
      <c r="EQ7" s="671"/>
      <c r="ER7" s="671"/>
      <c r="ES7" s="671"/>
      <c r="ET7" s="671"/>
      <c r="EU7" s="671"/>
      <c r="EV7" s="671"/>
      <c r="EW7" s="671"/>
      <c r="EX7" s="2" t="str">
        <f>TESTYEAR_GAS</f>
        <v>12 MONTHS ENDED DECEMBER 31, 2018</v>
      </c>
      <c r="EY7" s="2"/>
      <c r="EZ7" s="2"/>
      <c r="FA7" s="2"/>
      <c r="FB7" s="2"/>
      <c r="FC7" s="2"/>
      <c r="FD7" s="2"/>
      <c r="FE7" s="2"/>
      <c r="FF7" s="2" t="str">
        <f>TESTYEAR_GAS</f>
        <v>12 MONTHS ENDED DECEMBER 31, 2018</v>
      </c>
      <c r="FG7" s="2"/>
      <c r="FH7" s="2"/>
      <c r="FI7" s="2"/>
      <c r="FJ7" s="2"/>
      <c r="FK7" s="2"/>
      <c r="FL7" s="2"/>
      <c r="FM7" s="2"/>
      <c r="FN7" s="671" t="str">
        <f>TESTYEAR_GAS</f>
        <v>12 MONTHS ENDED DECEMBER 31, 2018</v>
      </c>
      <c r="FO7" s="671"/>
      <c r="FP7" s="671"/>
      <c r="FQ7" s="671"/>
      <c r="FR7" s="671"/>
      <c r="FS7" s="671"/>
      <c r="FT7" s="671"/>
      <c r="FU7" s="671"/>
      <c r="FV7" s="2" t="str">
        <f>TESTYEAR_GAS</f>
        <v>12 MONTHS ENDED DECEMBER 31, 2018</v>
      </c>
      <c r="FW7" s="2"/>
      <c r="FX7" s="2"/>
      <c r="FY7" s="2"/>
      <c r="FZ7" s="2"/>
      <c r="GA7" s="2"/>
      <c r="GB7" s="2"/>
      <c r="GC7" s="2"/>
      <c r="GD7" s="671" t="str">
        <f>TESTYEAR_GAS</f>
        <v>12 MONTHS ENDED DECEMBER 31, 2018</v>
      </c>
      <c r="GE7" s="671"/>
      <c r="GF7" s="671"/>
      <c r="GG7" s="671"/>
      <c r="GH7" s="671"/>
      <c r="GI7" s="671"/>
      <c r="GJ7" s="671"/>
      <c r="GK7" s="671"/>
      <c r="GL7" s="671" t="str">
        <f>TESTYEAR_GAS</f>
        <v>12 MONTHS ENDED DECEMBER 31, 2018</v>
      </c>
      <c r="GM7" s="671"/>
      <c r="GN7" s="671"/>
      <c r="GO7" s="671"/>
      <c r="GP7" s="671"/>
      <c r="GQ7" s="671"/>
      <c r="GR7" s="671"/>
      <c r="GS7" s="671"/>
      <c r="GT7" s="2" t="str">
        <f>TESTYEAR_GAS</f>
        <v>12 MONTHS ENDED DECEMBER 31, 2018</v>
      </c>
      <c r="GU7" s="2"/>
      <c r="GV7" s="2"/>
      <c r="GW7" s="2"/>
      <c r="GX7" s="2"/>
      <c r="GY7" s="2"/>
      <c r="GZ7" s="2"/>
      <c r="HA7" s="2"/>
      <c r="HB7" s="671" t="str">
        <f>TESTYEAR_GAS</f>
        <v>12 MONTHS ENDED DECEMBER 31, 2018</v>
      </c>
      <c r="HC7" s="671"/>
      <c r="HD7" s="671"/>
      <c r="HE7" s="671"/>
      <c r="HF7" s="671"/>
      <c r="HG7" s="671"/>
      <c r="HH7" s="671"/>
      <c r="HI7" s="671"/>
      <c r="HJ7" s="671" t="str">
        <f>TESTYEAR_GAS</f>
        <v>12 MONTHS ENDED DECEMBER 31, 2018</v>
      </c>
      <c r="HK7" s="671"/>
      <c r="HL7" s="671"/>
      <c r="HM7" s="671"/>
      <c r="HN7" s="671"/>
      <c r="HO7" s="671"/>
      <c r="HP7" s="671"/>
      <c r="HQ7" s="671"/>
      <c r="HR7" s="671" t="str">
        <f>TESTYEAR_GAS</f>
        <v>12 MONTHS ENDED DECEMBER 31, 2018</v>
      </c>
      <c r="HS7" s="671"/>
      <c r="HT7" s="671"/>
      <c r="HU7" s="671"/>
      <c r="HV7" s="671"/>
      <c r="HW7" s="671"/>
      <c r="HX7" s="671"/>
      <c r="HY7" s="671"/>
      <c r="HZ7" s="671" t="str">
        <f>TESTYEAR_GAS</f>
        <v>12 MONTHS ENDED DECEMBER 31, 2018</v>
      </c>
      <c r="IA7" s="671"/>
      <c r="IB7" s="671"/>
      <c r="IC7" s="671"/>
      <c r="ID7" s="671"/>
      <c r="IE7" s="671"/>
      <c r="IF7" s="671"/>
      <c r="IG7" s="671"/>
    </row>
    <row r="8" spans="1:241" s="209" customFormat="1" thickBot="1" x14ac:dyDescent="0.3">
      <c r="A8" s="2" t="str">
        <f>CASE_GAS</f>
        <v>2019 GENERAL RATE CASE</v>
      </c>
      <c r="B8" s="2"/>
      <c r="C8" s="2"/>
      <c r="D8" s="2"/>
      <c r="E8" s="2"/>
      <c r="F8" s="2"/>
      <c r="G8" s="2"/>
      <c r="H8" s="2"/>
      <c r="I8" s="2" t="str">
        <f>CASE_GAS</f>
        <v>2019 GENERAL RATE CASE</v>
      </c>
      <c r="J8" s="2"/>
      <c r="K8" s="2"/>
      <c r="L8" s="2"/>
      <c r="M8" s="2"/>
      <c r="N8" s="2"/>
      <c r="O8" s="2"/>
      <c r="P8" s="2"/>
      <c r="Q8" s="2" t="str">
        <f>CASE_GAS</f>
        <v>2019 GENERAL RATE CASE</v>
      </c>
      <c r="R8" s="2"/>
      <c r="S8" s="2"/>
      <c r="T8" s="2"/>
      <c r="U8" s="2"/>
      <c r="V8" s="2"/>
      <c r="W8" s="2"/>
      <c r="X8" s="2"/>
      <c r="Y8" s="2" t="str">
        <f>CASE_GAS</f>
        <v>2019 GENERAL RATE CASE</v>
      </c>
      <c r="Z8" s="2"/>
      <c r="AA8" s="2"/>
      <c r="AB8" s="2"/>
      <c r="AC8" s="2"/>
      <c r="AD8" s="2"/>
      <c r="AE8" s="2"/>
      <c r="AF8" s="2"/>
      <c r="AG8" s="2" t="str">
        <f>CASE_GAS</f>
        <v>2019 GENERAL RATE CASE</v>
      </c>
      <c r="AH8" s="2"/>
      <c r="AI8" s="2"/>
      <c r="AJ8" s="2"/>
      <c r="AK8" s="2"/>
      <c r="AL8" s="2"/>
      <c r="AM8" s="2"/>
      <c r="AN8" s="2"/>
      <c r="AO8" s="2" t="str">
        <f>CASE_GAS</f>
        <v>2019 GENERAL RATE CASE</v>
      </c>
      <c r="AP8" s="2"/>
      <c r="AQ8" s="2"/>
      <c r="AR8" s="2"/>
      <c r="AS8" s="2"/>
      <c r="AT8" s="2"/>
      <c r="AU8" s="2"/>
      <c r="AV8" s="2"/>
      <c r="AW8" s="2" t="str">
        <f>CASE_GAS</f>
        <v>2019 GENERAL RATE CASE</v>
      </c>
      <c r="AX8" s="2"/>
      <c r="AY8" s="2"/>
      <c r="AZ8" s="2"/>
      <c r="BA8" s="2"/>
      <c r="BB8" s="2"/>
      <c r="BC8" s="2"/>
      <c r="BD8" s="2"/>
      <c r="BE8" s="2"/>
      <c r="BF8" s="2" t="str">
        <f>CASE_GAS</f>
        <v>2019 GENERAL RATE CASE</v>
      </c>
      <c r="BG8" s="2"/>
      <c r="BH8" s="2"/>
      <c r="BI8" s="2"/>
      <c r="BJ8" s="2"/>
      <c r="BK8" s="2"/>
      <c r="BL8" s="2"/>
      <c r="BM8" s="2"/>
      <c r="BN8" s="2" t="str">
        <f>CASE_GAS</f>
        <v>2019 GENERAL RATE CASE</v>
      </c>
      <c r="BO8" s="2"/>
      <c r="BP8" s="2"/>
      <c r="BQ8" s="2"/>
      <c r="BR8" s="2"/>
      <c r="BS8" s="2"/>
      <c r="BT8" s="2"/>
      <c r="BU8" s="2"/>
      <c r="BV8" s="2" t="str">
        <f>CASE_GAS</f>
        <v>2019 GENERAL RATE CASE</v>
      </c>
      <c r="BW8" s="2"/>
      <c r="BX8" s="2"/>
      <c r="BY8" s="2"/>
      <c r="BZ8" s="2"/>
      <c r="CA8" s="2"/>
      <c r="CB8" s="2"/>
      <c r="CC8" s="2"/>
      <c r="CD8" s="2" t="str">
        <f>CASE_GAS</f>
        <v>2019 GENERAL RATE CASE</v>
      </c>
      <c r="CE8" s="2"/>
      <c r="CF8" s="2"/>
      <c r="CG8" s="2"/>
      <c r="CH8" s="2"/>
      <c r="CI8" s="2"/>
      <c r="CJ8" s="2"/>
      <c r="CK8" s="2"/>
      <c r="CL8" s="2" t="str">
        <f>CASE_GAS</f>
        <v>2019 GENERAL RATE CASE</v>
      </c>
      <c r="CM8" s="2"/>
      <c r="CN8" s="2"/>
      <c r="CO8" s="2"/>
      <c r="CP8" s="2"/>
      <c r="CQ8" s="2"/>
      <c r="CR8" s="2"/>
      <c r="CS8" s="2"/>
      <c r="CT8" s="2" t="str">
        <f>CASE_GAS</f>
        <v>2019 GENERAL RATE CASE</v>
      </c>
      <c r="CU8" s="2"/>
      <c r="CV8" s="2"/>
      <c r="CW8" s="2"/>
      <c r="CX8" s="2"/>
      <c r="CY8" s="2"/>
      <c r="CZ8" s="2"/>
      <c r="DA8" s="2"/>
      <c r="DB8" s="2" t="str">
        <f>CASE_GAS</f>
        <v>2019 GENERAL RATE CASE</v>
      </c>
      <c r="DC8" s="2"/>
      <c r="DD8" s="2"/>
      <c r="DE8" s="2"/>
      <c r="DF8" s="2"/>
      <c r="DG8" s="2"/>
      <c r="DH8" s="2"/>
      <c r="DI8" s="2"/>
      <c r="DJ8" s="2" t="str">
        <f>CASE_GAS</f>
        <v>2019 GENERAL RATE CASE</v>
      </c>
      <c r="DK8" s="2"/>
      <c r="DL8" s="2"/>
      <c r="DM8" s="2"/>
      <c r="DN8" s="2"/>
      <c r="DO8" s="2"/>
      <c r="DP8" s="2"/>
      <c r="DQ8" s="2"/>
      <c r="DR8" s="2" t="str">
        <f>CASE_GAS</f>
        <v>2019 GENERAL RATE CASE</v>
      </c>
      <c r="DS8" s="2"/>
      <c r="DT8" s="2"/>
      <c r="DU8" s="2"/>
      <c r="DV8" s="2"/>
      <c r="DW8" s="2"/>
      <c r="DX8" s="2"/>
      <c r="DY8" s="2"/>
      <c r="DZ8" s="2" t="str">
        <f>CASE_GAS</f>
        <v>2019 GENERAL RATE CASE</v>
      </c>
      <c r="EA8" s="2"/>
      <c r="EB8" s="2"/>
      <c r="EC8" s="2"/>
      <c r="ED8" s="2"/>
      <c r="EE8" s="2"/>
      <c r="EF8" s="2"/>
      <c r="EG8" s="2"/>
      <c r="EH8" s="2" t="str">
        <f>CASE_GAS</f>
        <v>2019 GENERAL RATE CASE</v>
      </c>
      <c r="EI8" s="2"/>
      <c r="EJ8" s="2"/>
      <c r="EK8" s="2"/>
      <c r="EL8" s="2"/>
      <c r="EM8" s="2"/>
      <c r="EN8" s="2"/>
      <c r="EO8" s="2"/>
      <c r="EP8" s="671" t="str">
        <f>CASE_GAS</f>
        <v>2019 GENERAL RATE CASE</v>
      </c>
      <c r="EQ8" s="671"/>
      <c r="ER8" s="671"/>
      <c r="ES8" s="671"/>
      <c r="ET8" s="671"/>
      <c r="EU8" s="671"/>
      <c r="EV8" s="671"/>
      <c r="EW8" s="671"/>
      <c r="EX8" s="2" t="str">
        <f>CASE_GAS</f>
        <v>2019 GENERAL RATE CASE</v>
      </c>
      <c r="EY8" s="2"/>
      <c r="EZ8" s="2"/>
      <c r="FA8" s="2"/>
      <c r="FB8" s="2"/>
      <c r="FC8" s="2"/>
      <c r="FD8" s="2"/>
      <c r="FE8" s="2"/>
      <c r="FF8" s="2" t="str">
        <f>CASE_GAS</f>
        <v>2019 GENERAL RATE CASE</v>
      </c>
      <c r="FG8" s="2"/>
      <c r="FH8" s="2"/>
      <c r="FI8" s="2"/>
      <c r="FJ8" s="2"/>
      <c r="FK8" s="2"/>
      <c r="FL8" s="2"/>
      <c r="FM8" s="2"/>
      <c r="FN8" s="671" t="str">
        <f>CASE_GAS</f>
        <v>2019 GENERAL RATE CASE</v>
      </c>
      <c r="FO8" s="671"/>
      <c r="FP8" s="671"/>
      <c r="FQ8" s="671"/>
      <c r="FR8" s="671"/>
      <c r="FS8" s="671"/>
      <c r="FT8" s="671"/>
      <c r="FU8" s="671"/>
      <c r="FV8" s="2" t="str">
        <f>CASE_GAS</f>
        <v>2019 GENERAL RATE CASE</v>
      </c>
      <c r="FW8" s="2"/>
      <c r="FX8" s="2"/>
      <c r="FY8" s="2"/>
      <c r="FZ8" s="2"/>
      <c r="GA8" s="2"/>
      <c r="GB8" s="2"/>
      <c r="GC8" s="2"/>
      <c r="GD8" s="671" t="str">
        <f>CASE_GAS</f>
        <v>2019 GENERAL RATE CASE</v>
      </c>
      <c r="GE8" s="671"/>
      <c r="GF8" s="671"/>
      <c r="GG8" s="671"/>
      <c r="GH8" s="671"/>
      <c r="GI8" s="671"/>
      <c r="GJ8" s="671"/>
      <c r="GK8" s="671"/>
      <c r="GL8" s="671" t="str">
        <f>CASE_GAS</f>
        <v>2019 GENERAL RATE CASE</v>
      </c>
      <c r="GM8" s="671"/>
      <c r="GN8" s="671"/>
      <c r="GO8" s="671"/>
      <c r="GP8" s="671"/>
      <c r="GQ8" s="671"/>
      <c r="GR8" s="671"/>
      <c r="GS8" s="671"/>
      <c r="GT8" s="2" t="str">
        <f>CASE_GAS</f>
        <v>2019 GENERAL RATE CASE</v>
      </c>
      <c r="GU8" s="2"/>
      <c r="GV8" s="2"/>
      <c r="GW8" s="2"/>
      <c r="GX8" s="2"/>
      <c r="GY8" s="2"/>
      <c r="GZ8" s="2"/>
      <c r="HA8" s="2"/>
      <c r="HB8" s="671" t="str">
        <f>CASE_GAS</f>
        <v>2019 GENERAL RATE CASE</v>
      </c>
      <c r="HC8" s="671"/>
      <c r="HD8" s="671"/>
      <c r="HE8" s="671"/>
      <c r="HF8" s="671"/>
      <c r="HG8" s="671"/>
      <c r="HH8" s="671"/>
      <c r="HI8" s="671"/>
      <c r="HJ8" s="671" t="str">
        <f>CASE_GAS</f>
        <v>2019 GENERAL RATE CASE</v>
      </c>
      <c r="HK8" s="671"/>
      <c r="HL8" s="671"/>
      <c r="HM8" s="671"/>
      <c r="HN8" s="671"/>
      <c r="HO8" s="671"/>
      <c r="HP8" s="671"/>
      <c r="HQ8" s="671"/>
      <c r="HR8" s="671" t="str">
        <f>CASE_GAS</f>
        <v>2019 GENERAL RATE CASE</v>
      </c>
      <c r="HS8" s="671"/>
      <c r="HT8" s="671"/>
      <c r="HU8" s="671"/>
      <c r="HV8" s="671"/>
      <c r="HW8" s="671"/>
      <c r="HX8" s="671"/>
      <c r="HY8" s="671"/>
      <c r="HZ8" s="671" t="str">
        <f>CASE_GAS</f>
        <v>2019 GENERAL RATE CASE</v>
      </c>
      <c r="IA8" s="671"/>
      <c r="IB8" s="671"/>
      <c r="IC8" s="671"/>
      <c r="ID8" s="671"/>
      <c r="IE8" s="671"/>
      <c r="IF8" s="671"/>
      <c r="IG8" s="671"/>
    </row>
    <row r="9" spans="1:241" s="209" customFormat="1" thickBot="1" x14ac:dyDescent="0.3">
      <c r="A9" s="2"/>
      <c r="B9" s="2"/>
      <c r="C9" s="2"/>
      <c r="D9" s="2"/>
      <c r="E9" s="2"/>
      <c r="F9" s="343">
        <f>'Detailed Summary'!D9</f>
        <v>20.010000000000002</v>
      </c>
      <c r="G9" s="2"/>
      <c r="H9" s="344">
        <f>'Detailed Summary'!AA9</f>
        <v>20.010000000000002</v>
      </c>
      <c r="I9" s="2"/>
      <c r="J9" s="2"/>
      <c r="K9" s="2"/>
      <c r="N9" s="343">
        <f>+'Detailed Summary'!E9</f>
        <v>20.020000000000003</v>
      </c>
      <c r="P9" s="344">
        <f>+'Detailed Summary'!AB9</f>
        <v>20.020000000000003</v>
      </c>
      <c r="Q9" s="2"/>
      <c r="R9" s="2"/>
      <c r="S9" s="189"/>
      <c r="T9" s="189"/>
      <c r="U9" s="189"/>
      <c r="V9" s="343">
        <f>+'Detailed Summary'!F9</f>
        <v>20.030000000000005</v>
      </c>
      <c r="W9" s="189"/>
      <c r="X9" s="344" t="s">
        <v>373</v>
      </c>
      <c r="Y9" s="2"/>
      <c r="Z9" s="2"/>
      <c r="AA9" s="2"/>
      <c r="AB9" s="2"/>
      <c r="AC9" s="2"/>
      <c r="AD9" s="343">
        <f>'Detailed Summary'!G9</f>
        <v>20.040000000000006</v>
      </c>
      <c r="AE9" s="2"/>
      <c r="AF9" s="344">
        <f>'Detailed Summary'!AC9</f>
        <v>20.040000000000006</v>
      </c>
      <c r="AG9" s="2"/>
      <c r="AH9" s="2"/>
      <c r="AI9" s="2"/>
      <c r="AJ9" s="2"/>
      <c r="AK9" s="2"/>
      <c r="AL9" s="343">
        <f>'Detailed Summary'!H9</f>
        <v>20.050000000000008</v>
      </c>
      <c r="AM9" s="2"/>
      <c r="AN9" s="300" t="s">
        <v>373</v>
      </c>
      <c r="AO9" s="2"/>
      <c r="AP9" s="2"/>
      <c r="AQ9" s="2"/>
      <c r="AR9" s="2"/>
      <c r="AS9" s="2"/>
      <c r="AT9" s="343">
        <f>'Detailed Summary'!I9</f>
        <v>20.060000000000009</v>
      </c>
      <c r="AU9" s="2"/>
      <c r="AV9" s="300" t="s">
        <v>373</v>
      </c>
      <c r="AW9" s="2"/>
      <c r="AX9" s="2"/>
      <c r="AY9" s="2"/>
      <c r="AZ9" s="2"/>
      <c r="BA9" s="2"/>
      <c r="BB9" s="343">
        <f>'Detailed Summary'!J9</f>
        <v>20.070000000000011</v>
      </c>
      <c r="BC9" s="2"/>
      <c r="BD9" s="300" t="s">
        <v>373</v>
      </c>
      <c r="BE9" s="2"/>
      <c r="BF9" s="2"/>
      <c r="BG9" s="2"/>
      <c r="BH9" s="2"/>
      <c r="BI9" s="2"/>
      <c r="BJ9" s="2"/>
      <c r="BK9" s="343">
        <f>'Detailed Summary'!K9</f>
        <v>20.080000000000013</v>
      </c>
      <c r="BL9" s="2"/>
      <c r="BM9" s="300" t="s">
        <v>373</v>
      </c>
      <c r="BN9" s="2"/>
      <c r="BO9" s="2"/>
      <c r="BP9" s="2"/>
      <c r="BQ9" s="2"/>
      <c r="BR9" s="2"/>
      <c r="BS9" s="343">
        <f>'Detailed Summary'!L9</f>
        <v>20.090000000000014</v>
      </c>
      <c r="BT9" s="2"/>
      <c r="BU9" s="344">
        <f>'Detailed Summary'!AD9</f>
        <v>20.090000000000014</v>
      </c>
      <c r="BV9" s="2"/>
      <c r="BW9" s="2"/>
      <c r="BX9" s="2"/>
      <c r="BY9" s="2"/>
      <c r="BZ9" s="2"/>
      <c r="CA9" s="343">
        <f>'Detailed Summary'!M9</f>
        <v>20.100000000000016</v>
      </c>
      <c r="CB9" s="2"/>
      <c r="CC9" s="344">
        <f>'Detailed Summary'!AE9</f>
        <v>20.100000000000016</v>
      </c>
      <c r="CD9" s="2"/>
      <c r="CE9" s="2"/>
      <c r="CF9" s="2"/>
      <c r="CG9" s="2"/>
      <c r="CH9" s="2"/>
      <c r="CI9" s="343">
        <f>'Detailed Summary'!N9</f>
        <v>20.110000000000017</v>
      </c>
      <c r="CJ9" s="2"/>
      <c r="CK9" s="300" t="s">
        <v>373</v>
      </c>
      <c r="CL9" s="2"/>
      <c r="CM9" s="2"/>
      <c r="CN9" s="2"/>
      <c r="CO9" s="2"/>
      <c r="CP9" s="2"/>
      <c r="CQ9" s="343">
        <f>'Detailed Summary'!O9</f>
        <v>20.120000000000019</v>
      </c>
      <c r="CR9" s="2"/>
      <c r="CS9" s="300" t="s">
        <v>373</v>
      </c>
      <c r="CT9" s="2"/>
      <c r="CU9" s="2"/>
      <c r="CV9" s="2"/>
      <c r="CW9" s="2"/>
      <c r="CX9" s="2"/>
      <c r="CY9" s="343">
        <f>'Detailed Summary'!P9</f>
        <v>20.13000000000002</v>
      </c>
      <c r="CZ9" s="2"/>
      <c r="DA9" s="300" t="s">
        <v>373</v>
      </c>
      <c r="DB9" s="2"/>
      <c r="DC9" s="2"/>
      <c r="DD9" s="2"/>
      <c r="DE9" s="2"/>
      <c r="DF9" s="2"/>
      <c r="DG9" s="343">
        <f>'Detailed Summary'!Q9</f>
        <v>20.14</v>
      </c>
      <c r="DH9" s="2"/>
      <c r="DI9" s="344">
        <f>'Detailed Summary'!AF9</f>
        <v>20.14</v>
      </c>
      <c r="DJ9" s="2"/>
      <c r="DK9" s="2"/>
      <c r="DL9" s="2"/>
      <c r="DM9" s="2"/>
      <c r="DN9" s="2"/>
      <c r="DO9" s="343">
        <f>'Detailed Summary'!R9</f>
        <v>20.149999999999999</v>
      </c>
      <c r="DP9" s="2"/>
      <c r="DQ9" s="344">
        <f>'Detailed Summary'!AG9</f>
        <v>20.150000000000002</v>
      </c>
      <c r="DR9" s="2"/>
      <c r="DS9" s="2"/>
      <c r="DT9" s="2"/>
      <c r="DU9" s="2"/>
      <c r="DV9" s="2"/>
      <c r="DW9" s="343">
        <f>'Detailed Summary'!S9</f>
        <v>20.16</v>
      </c>
      <c r="DX9" s="2"/>
      <c r="DY9" s="344">
        <f>'Detailed Summary'!AH9</f>
        <v>20.160000000000004</v>
      </c>
      <c r="DZ9" s="2"/>
      <c r="EA9" s="2"/>
      <c r="EB9" s="2"/>
      <c r="EC9" s="2"/>
      <c r="ED9" s="2"/>
      <c r="EE9" s="343">
        <f>'Detailed Summary'!T9</f>
        <v>20.170000000000002</v>
      </c>
      <c r="EF9" s="2"/>
      <c r="EG9" s="344">
        <f>'Detailed Summary'!AI9</f>
        <v>20.170000000000005</v>
      </c>
      <c r="EH9" s="213"/>
      <c r="EI9" s="213"/>
      <c r="EJ9" s="213"/>
      <c r="EK9" s="213"/>
      <c r="EL9" s="213"/>
      <c r="EM9" s="343">
        <f>'Detailed Summary'!U9</f>
        <v>20.18</v>
      </c>
      <c r="EN9" s="213"/>
      <c r="EO9" s="300" t="s">
        <v>373</v>
      </c>
      <c r="EP9" s="213"/>
      <c r="EQ9" s="213"/>
      <c r="ER9" s="213"/>
      <c r="ES9" s="213"/>
      <c r="ET9" s="213"/>
      <c r="EU9" s="343">
        <f>'Detailed Summary'!V9</f>
        <v>20.190000000000001</v>
      </c>
      <c r="EV9" s="213"/>
      <c r="EW9" s="300" t="s">
        <v>373</v>
      </c>
      <c r="EX9" s="2"/>
      <c r="EY9" s="2"/>
      <c r="EZ9" s="2"/>
      <c r="FA9" s="2"/>
      <c r="FB9" s="2"/>
      <c r="FC9" s="300" t="s">
        <v>373</v>
      </c>
      <c r="FD9" s="2"/>
      <c r="FE9" s="344">
        <f>'Detailed Summary'!AJ9</f>
        <v>20.2</v>
      </c>
      <c r="FF9" s="214"/>
      <c r="FG9" s="214"/>
      <c r="FH9" s="214"/>
      <c r="FI9" s="214"/>
      <c r="FJ9" s="214"/>
      <c r="FK9" s="300" t="s">
        <v>373</v>
      </c>
      <c r="FL9" s="214"/>
      <c r="FM9" s="344">
        <f>'Detailed Summary'!AK9</f>
        <v>20.21</v>
      </c>
      <c r="FN9" s="213"/>
      <c r="FS9" s="300" t="s">
        <v>373</v>
      </c>
      <c r="FU9" s="344">
        <f>'Detailed Summary'!AL9</f>
        <v>20.220000000000002</v>
      </c>
      <c r="FV9" s="213"/>
      <c r="GA9" s="215">
        <f>'Detailed Summary'!W9</f>
        <v>20.23</v>
      </c>
      <c r="GC9" s="344">
        <f>'Detailed Summary'!AM9</f>
        <v>20.230000000000004</v>
      </c>
      <c r="GD9" s="213"/>
      <c r="GI9" s="300" t="s">
        <v>373</v>
      </c>
      <c r="GK9" s="344">
        <f>'Detailed Summary'!AN9</f>
        <v>20.240000000000006</v>
      </c>
      <c r="GL9" s="213"/>
      <c r="GQ9" s="300" t="s">
        <v>373</v>
      </c>
      <c r="GS9" s="344">
        <f>'Detailed Summary'!AO9</f>
        <v>20.250000000000007</v>
      </c>
      <c r="GT9" s="213"/>
      <c r="GY9" s="300" t="s">
        <v>373</v>
      </c>
      <c r="HA9" s="344">
        <f>'Detailed Summary'!AP9</f>
        <v>20.260000000000009</v>
      </c>
      <c r="HB9" s="213"/>
      <c r="HG9" s="300" t="s">
        <v>373</v>
      </c>
      <c r="HI9" s="344">
        <f>'Detailed Summary'!AQ9</f>
        <v>20.27000000000001</v>
      </c>
      <c r="HJ9" s="213"/>
      <c r="HO9" s="300" t="s">
        <v>373</v>
      </c>
      <c r="HQ9" s="344">
        <f>'Detailed Summary'!AR9</f>
        <v>20.280000000000012</v>
      </c>
      <c r="HR9" s="213"/>
      <c r="HW9" s="300" t="s">
        <v>373</v>
      </c>
      <c r="HY9" s="344">
        <f>'Detailed Summary'!AS9</f>
        <v>20.290000000000013</v>
      </c>
      <c r="HZ9" s="213"/>
      <c r="IE9" s="300" t="s">
        <v>373</v>
      </c>
      <c r="IG9" s="344">
        <f>'Detailed Summary'!X9</f>
        <v>20.3</v>
      </c>
    </row>
    <row r="10" spans="1:241" x14ac:dyDescent="0.25">
      <c r="C10" s="345"/>
      <c r="D10" s="303" t="s">
        <v>189</v>
      </c>
      <c r="E10" s="304"/>
      <c r="F10" s="305" t="s">
        <v>82</v>
      </c>
      <c r="G10" s="304"/>
      <c r="H10" s="305" t="s">
        <v>78</v>
      </c>
      <c r="I10" s="299"/>
      <c r="J10" s="345"/>
      <c r="K10" s="345"/>
      <c r="L10" s="303" t="s">
        <v>189</v>
      </c>
      <c r="M10" s="304"/>
      <c r="N10" s="305" t="s">
        <v>82</v>
      </c>
      <c r="O10" s="304"/>
      <c r="P10" s="305" t="s">
        <v>78</v>
      </c>
      <c r="S10" s="345"/>
      <c r="T10" s="303" t="s">
        <v>189</v>
      </c>
      <c r="U10" s="304"/>
      <c r="V10" s="305" t="s">
        <v>82</v>
      </c>
      <c r="W10" s="304"/>
      <c r="X10" s="305" t="s">
        <v>78</v>
      </c>
      <c r="Y10" s="299"/>
      <c r="Z10" s="345"/>
      <c r="AA10" s="345"/>
      <c r="AB10" s="303" t="s">
        <v>189</v>
      </c>
      <c r="AC10" s="304"/>
      <c r="AD10" s="305" t="s">
        <v>82</v>
      </c>
      <c r="AE10" s="304"/>
      <c r="AF10" s="305" t="s">
        <v>78</v>
      </c>
      <c r="AI10" s="345"/>
      <c r="AJ10" s="303" t="s">
        <v>189</v>
      </c>
      <c r="AK10" s="304"/>
      <c r="AL10" s="305" t="s">
        <v>82</v>
      </c>
      <c r="AM10" s="304"/>
      <c r="AN10" s="305" t="s">
        <v>78</v>
      </c>
      <c r="AO10" s="299"/>
      <c r="AP10" s="345"/>
      <c r="AQ10" s="345"/>
      <c r="AR10" s="303" t="s">
        <v>189</v>
      </c>
      <c r="AS10" s="304"/>
      <c r="AT10" s="305" t="s">
        <v>82</v>
      </c>
      <c r="AU10" s="304"/>
      <c r="AV10" s="305" t="s">
        <v>78</v>
      </c>
      <c r="AX10" s="307"/>
      <c r="AY10" s="345"/>
      <c r="AZ10" s="303" t="s">
        <v>189</v>
      </c>
      <c r="BA10" s="304"/>
      <c r="BB10" s="305" t="s">
        <v>82</v>
      </c>
      <c r="BC10" s="304"/>
      <c r="BD10" s="305" t="s">
        <v>78</v>
      </c>
      <c r="BE10" s="240" t="s">
        <v>120</v>
      </c>
      <c r="BH10" s="302"/>
      <c r="BI10" s="303" t="s">
        <v>189</v>
      </c>
      <c r="BJ10" s="304"/>
      <c r="BK10" s="305" t="s">
        <v>82</v>
      </c>
      <c r="BL10" s="304"/>
      <c r="BM10" s="305" t="s">
        <v>78</v>
      </c>
      <c r="BN10" s="308"/>
      <c r="BO10" s="302"/>
      <c r="BP10" s="302"/>
      <c r="BQ10" s="303" t="s">
        <v>189</v>
      </c>
      <c r="BR10" s="304"/>
      <c r="BS10" s="305" t="s">
        <v>82</v>
      </c>
      <c r="BT10" s="304"/>
      <c r="BU10" s="305" t="s">
        <v>78</v>
      </c>
      <c r="BV10" s="308"/>
      <c r="BW10" s="302"/>
      <c r="BX10" s="302"/>
      <c r="BY10" s="303" t="s">
        <v>189</v>
      </c>
      <c r="BZ10" s="304"/>
      <c r="CA10" s="305" t="s">
        <v>82</v>
      </c>
      <c r="CB10" s="304"/>
      <c r="CC10" s="305" t="s">
        <v>78</v>
      </c>
      <c r="CD10" s="308"/>
      <c r="CE10" s="302"/>
      <c r="CF10" s="302"/>
      <c r="CG10" s="303" t="s">
        <v>189</v>
      </c>
      <c r="CH10" s="304"/>
      <c r="CI10" s="305" t="s">
        <v>82</v>
      </c>
      <c r="CJ10" s="304"/>
      <c r="CK10" s="305" t="s">
        <v>78</v>
      </c>
      <c r="CN10" s="302"/>
      <c r="CO10" s="303" t="s">
        <v>189</v>
      </c>
      <c r="CP10" s="304"/>
      <c r="CQ10" s="305" t="s">
        <v>82</v>
      </c>
      <c r="CR10" s="304"/>
      <c r="CS10" s="305" t="s">
        <v>78</v>
      </c>
      <c r="CV10" s="302"/>
      <c r="CW10" s="303" t="s">
        <v>189</v>
      </c>
      <c r="CX10" s="304"/>
      <c r="CY10" s="305" t="s">
        <v>82</v>
      </c>
      <c r="CZ10" s="304"/>
      <c r="DA10" s="305" t="s">
        <v>78</v>
      </c>
      <c r="DD10" s="302"/>
      <c r="DE10" s="303" t="s">
        <v>189</v>
      </c>
      <c r="DF10" s="304"/>
      <c r="DG10" s="305" t="s">
        <v>82</v>
      </c>
      <c r="DH10" s="304"/>
      <c r="DI10" s="305" t="s">
        <v>78</v>
      </c>
      <c r="DL10" s="302"/>
      <c r="DM10" s="303" t="s">
        <v>189</v>
      </c>
      <c r="DN10" s="304"/>
      <c r="DO10" s="305" t="s">
        <v>82</v>
      </c>
      <c r="DP10" s="304"/>
      <c r="DQ10" s="305" t="s">
        <v>78</v>
      </c>
      <c r="DR10" s="346"/>
      <c r="DS10" s="347"/>
      <c r="DT10" s="302"/>
      <c r="DU10" s="303" t="s">
        <v>189</v>
      </c>
      <c r="DV10" s="304"/>
      <c r="DW10" s="305" t="s">
        <v>82</v>
      </c>
      <c r="DX10" s="304"/>
      <c r="DY10" s="305" t="s">
        <v>78</v>
      </c>
      <c r="EB10" s="302"/>
      <c r="EC10" s="303" t="s">
        <v>189</v>
      </c>
      <c r="ED10" s="304"/>
      <c r="EE10" s="305" t="s">
        <v>82</v>
      </c>
      <c r="EF10" s="304"/>
      <c r="EG10" s="305" t="s">
        <v>78</v>
      </c>
      <c r="EJ10" s="302"/>
      <c r="EK10" s="303" t="s">
        <v>189</v>
      </c>
      <c r="EL10" s="304"/>
      <c r="EM10" s="305" t="s">
        <v>82</v>
      </c>
      <c r="EN10" s="304"/>
      <c r="EO10" s="305" t="s">
        <v>78</v>
      </c>
      <c r="ER10" s="302"/>
      <c r="ES10" s="303" t="s">
        <v>189</v>
      </c>
      <c r="ET10" s="304"/>
      <c r="EU10" s="305" t="s">
        <v>82</v>
      </c>
      <c r="EV10" s="304"/>
      <c r="EW10" s="305" t="s">
        <v>78</v>
      </c>
      <c r="EZ10" s="302"/>
      <c r="FA10" s="303" t="s">
        <v>189</v>
      </c>
      <c r="FB10" s="304"/>
      <c r="FC10" s="305" t="s">
        <v>82</v>
      </c>
      <c r="FD10" s="304"/>
      <c r="FE10" s="305" t="s">
        <v>78</v>
      </c>
      <c r="FF10" s="18"/>
      <c r="FG10" s="18"/>
      <c r="FH10" s="18"/>
      <c r="FI10" s="303" t="s">
        <v>189</v>
      </c>
      <c r="FJ10" s="304"/>
      <c r="FK10" s="305" t="s">
        <v>82</v>
      </c>
      <c r="FL10" s="304"/>
      <c r="FM10" s="305" t="s">
        <v>78</v>
      </c>
      <c r="FN10" s="18"/>
      <c r="FO10" s="18"/>
      <c r="FP10" s="18"/>
      <c r="FQ10" s="303" t="s">
        <v>189</v>
      </c>
      <c r="FR10" s="304"/>
      <c r="FS10" s="305" t="s">
        <v>82</v>
      </c>
      <c r="FT10" s="304"/>
      <c r="FU10" s="305" t="s">
        <v>78</v>
      </c>
      <c r="FV10" s="18"/>
      <c r="FW10" s="18"/>
      <c r="FX10" s="18"/>
      <c r="FY10" s="303" t="s">
        <v>189</v>
      </c>
      <c r="FZ10" s="304"/>
      <c r="GA10" s="305" t="s">
        <v>82</v>
      </c>
      <c r="GB10" s="304"/>
      <c r="GC10" s="305" t="s">
        <v>78</v>
      </c>
      <c r="GD10" s="18"/>
      <c r="GE10" s="18"/>
      <c r="GF10" s="18"/>
      <c r="GG10" s="303" t="s">
        <v>189</v>
      </c>
      <c r="GH10" s="304"/>
      <c r="GI10" s="305" t="s">
        <v>82</v>
      </c>
      <c r="GJ10" s="304"/>
      <c r="GK10" s="305" t="s">
        <v>78</v>
      </c>
      <c r="GL10" s="18"/>
      <c r="GM10" s="18"/>
      <c r="GN10" s="18"/>
      <c r="GO10" s="303" t="s">
        <v>189</v>
      </c>
      <c r="GP10" s="304"/>
      <c r="GQ10" s="305" t="s">
        <v>82</v>
      </c>
      <c r="GR10" s="304"/>
      <c r="GS10" s="305" t="s">
        <v>78</v>
      </c>
      <c r="GT10" s="18"/>
      <c r="GU10" s="18"/>
      <c r="GV10" s="18"/>
      <c r="GW10" s="303" t="s">
        <v>189</v>
      </c>
      <c r="GX10" s="304"/>
      <c r="GY10" s="305" t="s">
        <v>82</v>
      </c>
      <c r="GZ10" s="304"/>
      <c r="HA10" s="305" t="s">
        <v>78</v>
      </c>
      <c r="HB10" s="18"/>
      <c r="HC10" s="18"/>
      <c r="HD10" s="18"/>
      <c r="HE10" s="303" t="s">
        <v>189</v>
      </c>
      <c r="HF10" s="304"/>
      <c r="HG10" s="305" t="s">
        <v>82</v>
      </c>
      <c r="HH10" s="304"/>
      <c r="HI10" s="305" t="s">
        <v>78</v>
      </c>
      <c r="HJ10" s="18"/>
      <c r="HK10" s="18"/>
      <c r="HL10" s="18"/>
      <c r="HM10" s="303" t="s">
        <v>189</v>
      </c>
      <c r="HN10" s="304"/>
      <c r="HO10" s="305" t="s">
        <v>82</v>
      </c>
      <c r="HP10" s="304"/>
      <c r="HQ10" s="305" t="s">
        <v>78</v>
      </c>
      <c r="HR10" s="5"/>
      <c r="HS10" s="5"/>
      <c r="HT10" s="5"/>
      <c r="HU10" s="303" t="s">
        <v>189</v>
      </c>
      <c r="HV10" s="304"/>
      <c r="HW10" s="305" t="s">
        <v>82</v>
      </c>
      <c r="HX10" s="304"/>
      <c r="HY10" s="305" t="s">
        <v>78</v>
      </c>
      <c r="HZ10" s="5"/>
      <c r="IA10" s="5"/>
      <c r="IB10" s="5"/>
      <c r="IC10" s="303" t="s">
        <v>189</v>
      </c>
      <c r="ID10" s="304"/>
      <c r="IE10" s="305" t="s">
        <v>82</v>
      </c>
      <c r="IF10" s="304"/>
      <c r="IG10" s="305" t="s">
        <v>78</v>
      </c>
    </row>
    <row r="11" spans="1:241" x14ac:dyDescent="0.25">
      <c r="A11" s="348" t="s">
        <v>36</v>
      </c>
      <c r="B11" s="349"/>
      <c r="C11" s="307"/>
      <c r="D11" s="305" t="s">
        <v>33</v>
      </c>
      <c r="E11" s="305" t="s">
        <v>82</v>
      </c>
      <c r="F11" s="305" t="s">
        <v>41</v>
      </c>
      <c r="G11" s="305" t="s">
        <v>78</v>
      </c>
      <c r="H11" s="305" t="s">
        <v>41</v>
      </c>
      <c r="I11" s="306" t="s">
        <v>36</v>
      </c>
      <c r="J11" s="307"/>
      <c r="K11" s="307"/>
      <c r="L11" s="305" t="s">
        <v>33</v>
      </c>
      <c r="M11" s="305" t="s">
        <v>82</v>
      </c>
      <c r="N11" s="305" t="s">
        <v>41</v>
      </c>
      <c r="O11" s="305" t="s">
        <v>78</v>
      </c>
      <c r="P11" s="305" t="s">
        <v>41</v>
      </c>
      <c r="Q11" s="306" t="s">
        <v>36</v>
      </c>
      <c r="S11" s="307"/>
      <c r="T11" s="305" t="s">
        <v>33</v>
      </c>
      <c r="U11" s="305" t="s">
        <v>82</v>
      </c>
      <c r="V11" s="305" t="s">
        <v>41</v>
      </c>
      <c r="W11" s="305" t="s">
        <v>78</v>
      </c>
      <c r="X11" s="305" t="s">
        <v>41</v>
      </c>
      <c r="Y11" s="306" t="s">
        <v>36</v>
      </c>
      <c r="Z11" s="307"/>
      <c r="AA11" s="307"/>
      <c r="AB11" s="305" t="s">
        <v>33</v>
      </c>
      <c r="AC11" s="305" t="s">
        <v>82</v>
      </c>
      <c r="AD11" s="305" t="s">
        <v>41</v>
      </c>
      <c r="AE11" s="305" t="s">
        <v>78</v>
      </c>
      <c r="AF11" s="305" t="s">
        <v>41</v>
      </c>
      <c r="AG11" s="348" t="s">
        <v>36</v>
      </c>
      <c r="AH11" s="349"/>
      <c r="AI11" s="307"/>
      <c r="AJ11" s="305" t="s">
        <v>33</v>
      </c>
      <c r="AK11" s="305" t="s">
        <v>82</v>
      </c>
      <c r="AL11" s="305" t="s">
        <v>41</v>
      </c>
      <c r="AM11" s="305" t="s">
        <v>78</v>
      </c>
      <c r="AN11" s="305" t="s">
        <v>41</v>
      </c>
      <c r="AO11" s="306" t="s">
        <v>36</v>
      </c>
      <c r="AP11" s="307"/>
      <c r="AQ11" s="307"/>
      <c r="AR11" s="305" t="s">
        <v>33</v>
      </c>
      <c r="AS11" s="305" t="s">
        <v>82</v>
      </c>
      <c r="AT11" s="305" t="s">
        <v>41</v>
      </c>
      <c r="AU11" s="305" t="s">
        <v>78</v>
      </c>
      <c r="AV11" s="305" t="s">
        <v>41</v>
      </c>
      <c r="AW11" s="350" t="s">
        <v>36</v>
      </c>
      <c r="AX11" s="350"/>
      <c r="AY11" s="307"/>
      <c r="AZ11" s="305" t="s">
        <v>33</v>
      </c>
      <c r="BA11" s="305" t="s">
        <v>82</v>
      </c>
      <c r="BB11" s="305" t="s">
        <v>41</v>
      </c>
      <c r="BC11" s="305" t="s">
        <v>78</v>
      </c>
      <c r="BD11" s="305" t="s">
        <v>41</v>
      </c>
      <c r="BE11" s="240" t="s">
        <v>121</v>
      </c>
      <c r="BF11" s="350" t="s">
        <v>36</v>
      </c>
      <c r="BG11" s="350"/>
      <c r="BH11" s="308"/>
      <c r="BI11" s="305" t="s">
        <v>33</v>
      </c>
      <c r="BJ11" s="305" t="s">
        <v>82</v>
      </c>
      <c r="BK11" s="305" t="s">
        <v>41</v>
      </c>
      <c r="BL11" s="305" t="s">
        <v>78</v>
      </c>
      <c r="BM11" s="305" t="s">
        <v>41</v>
      </c>
      <c r="BN11" s="312" t="s">
        <v>36</v>
      </c>
      <c r="BO11" s="308"/>
      <c r="BP11" s="308"/>
      <c r="BQ11" s="305" t="s">
        <v>33</v>
      </c>
      <c r="BR11" s="305" t="s">
        <v>82</v>
      </c>
      <c r="BS11" s="305" t="s">
        <v>41</v>
      </c>
      <c r="BT11" s="305" t="s">
        <v>78</v>
      </c>
      <c r="BU11" s="305" t="s">
        <v>41</v>
      </c>
      <c r="BV11" s="312" t="s">
        <v>36</v>
      </c>
      <c r="BW11" s="308"/>
      <c r="BX11" s="308"/>
      <c r="BY11" s="305" t="s">
        <v>33</v>
      </c>
      <c r="BZ11" s="305" t="s">
        <v>82</v>
      </c>
      <c r="CA11" s="305" t="s">
        <v>41</v>
      </c>
      <c r="CB11" s="305" t="s">
        <v>78</v>
      </c>
      <c r="CC11" s="305" t="s">
        <v>41</v>
      </c>
      <c r="CD11" s="312" t="s">
        <v>36</v>
      </c>
      <c r="CE11" s="308"/>
      <c r="CF11" s="308"/>
      <c r="CG11" s="305" t="s">
        <v>33</v>
      </c>
      <c r="CH11" s="305" t="s">
        <v>82</v>
      </c>
      <c r="CI11" s="305" t="s">
        <v>41</v>
      </c>
      <c r="CJ11" s="305" t="s">
        <v>78</v>
      </c>
      <c r="CK11" s="305" t="s">
        <v>41</v>
      </c>
      <c r="CL11" s="306" t="s">
        <v>36</v>
      </c>
      <c r="CM11" s="307"/>
      <c r="CN11" s="308"/>
      <c r="CO11" s="305" t="s">
        <v>33</v>
      </c>
      <c r="CP11" s="305" t="s">
        <v>82</v>
      </c>
      <c r="CQ11" s="305" t="s">
        <v>41</v>
      </c>
      <c r="CR11" s="305" t="s">
        <v>78</v>
      </c>
      <c r="CS11" s="305" t="s">
        <v>41</v>
      </c>
      <c r="CT11" s="306" t="s">
        <v>36</v>
      </c>
      <c r="CU11" s="307"/>
      <c r="CV11" s="308"/>
      <c r="CW11" s="305" t="s">
        <v>33</v>
      </c>
      <c r="CX11" s="305" t="s">
        <v>82</v>
      </c>
      <c r="CY11" s="305" t="s">
        <v>41</v>
      </c>
      <c r="CZ11" s="305" t="s">
        <v>78</v>
      </c>
      <c r="DA11" s="305" t="s">
        <v>41</v>
      </c>
      <c r="DB11" s="306" t="s">
        <v>36</v>
      </c>
      <c r="DC11" s="307"/>
      <c r="DD11" s="308"/>
      <c r="DE11" s="305" t="s">
        <v>33</v>
      </c>
      <c r="DF11" s="305" t="s">
        <v>82</v>
      </c>
      <c r="DG11" s="305" t="s">
        <v>41</v>
      </c>
      <c r="DH11" s="305" t="s">
        <v>78</v>
      </c>
      <c r="DI11" s="305" t="s">
        <v>41</v>
      </c>
      <c r="DJ11" s="306" t="s">
        <v>36</v>
      </c>
      <c r="DK11" s="307"/>
      <c r="DL11" s="308"/>
      <c r="DM11" s="305" t="s">
        <v>33</v>
      </c>
      <c r="DN11" s="305" t="s">
        <v>82</v>
      </c>
      <c r="DO11" s="305" t="s">
        <v>41</v>
      </c>
      <c r="DP11" s="305" t="s">
        <v>78</v>
      </c>
      <c r="DQ11" s="305" t="s">
        <v>41</v>
      </c>
      <c r="DR11" s="9" t="s">
        <v>36</v>
      </c>
      <c r="DS11" s="346"/>
      <c r="DT11" s="308"/>
      <c r="DU11" s="305" t="s">
        <v>33</v>
      </c>
      <c r="DV11" s="305" t="s">
        <v>82</v>
      </c>
      <c r="DW11" s="305" t="s">
        <v>41</v>
      </c>
      <c r="DX11" s="305" t="s">
        <v>78</v>
      </c>
      <c r="DY11" s="305" t="s">
        <v>41</v>
      </c>
      <c r="DZ11" s="240" t="s">
        <v>36</v>
      </c>
      <c r="EA11" s="307"/>
      <c r="EB11" s="308"/>
      <c r="EC11" s="305" t="s">
        <v>33</v>
      </c>
      <c r="ED11" s="305" t="s">
        <v>82</v>
      </c>
      <c r="EE11" s="305" t="s">
        <v>41</v>
      </c>
      <c r="EF11" s="305" t="s">
        <v>78</v>
      </c>
      <c r="EG11" s="305" t="s">
        <v>41</v>
      </c>
      <c r="EH11" s="240" t="s">
        <v>36</v>
      </c>
      <c r="EI11" s="307"/>
      <c r="EJ11" s="308"/>
      <c r="EK11" s="305" t="s">
        <v>33</v>
      </c>
      <c r="EL11" s="305" t="s">
        <v>82</v>
      </c>
      <c r="EM11" s="305" t="s">
        <v>41</v>
      </c>
      <c r="EN11" s="305" t="s">
        <v>78</v>
      </c>
      <c r="EO11" s="305" t="s">
        <v>41</v>
      </c>
      <c r="EP11" s="240" t="s">
        <v>36</v>
      </c>
      <c r="EQ11" s="307"/>
      <c r="ER11" s="308"/>
      <c r="ES11" s="305" t="s">
        <v>33</v>
      </c>
      <c r="ET11" s="305" t="s">
        <v>82</v>
      </c>
      <c r="EU11" s="305" t="s">
        <v>41</v>
      </c>
      <c r="EV11" s="305" t="s">
        <v>78</v>
      </c>
      <c r="EW11" s="305" t="s">
        <v>41</v>
      </c>
      <c r="EX11" s="240" t="s">
        <v>36</v>
      </c>
      <c r="EY11" s="307"/>
      <c r="EZ11" s="308"/>
      <c r="FA11" s="305" t="s">
        <v>33</v>
      </c>
      <c r="FB11" s="305" t="s">
        <v>82</v>
      </c>
      <c r="FC11" s="305" t="s">
        <v>41</v>
      </c>
      <c r="FD11" s="305" t="s">
        <v>78</v>
      </c>
      <c r="FE11" s="305" t="s">
        <v>41</v>
      </c>
      <c r="FF11" s="305" t="s">
        <v>36</v>
      </c>
      <c r="FG11" s="351"/>
      <c r="FH11" s="351"/>
      <c r="FI11" s="305" t="s">
        <v>33</v>
      </c>
      <c r="FJ11" s="305" t="s">
        <v>82</v>
      </c>
      <c r="FK11" s="305" t="s">
        <v>41</v>
      </c>
      <c r="FL11" s="305" t="s">
        <v>78</v>
      </c>
      <c r="FM11" s="305" t="s">
        <v>41</v>
      </c>
      <c r="FN11" s="305" t="s">
        <v>36</v>
      </c>
      <c r="FO11" s="351"/>
      <c r="FP11" s="351"/>
      <c r="FQ11" s="305" t="s">
        <v>33</v>
      </c>
      <c r="FR11" s="305" t="s">
        <v>82</v>
      </c>
      <c r="FS11" s="305" t="s">
        <v>41</v>
      </c>
      <c r="FT11" s="305" t="s">
        <v>78</v>
      </c>
      <c r="FU11" s="305" t="s">
        <v>41</v>
      </c>
      <c r="FV11" s="305" t="s">
        <v>36</v>
      </c>
      <c r="FW11" s="351"/>
      <c r="FX11" s="351"/>
      <c r="FY11" s="305" t="s">
        <v>33</v>
      </c>
      <c r="FZ11" s="305" t="s">
        <v>82</v>
      </c>
      <c r="GA11" s="305" t="s">
        <v>41</v>
      </c>
      <c r="GB11" s="305" t="s">
        <v>78</v>
      </c>
      <c r="GC11" s="305" t="s">
        <v>41</v>
      </c>
      <c r="GD11" s="305" t="s">
        <v>36</v>
      </c>
      <c r="GE11" s="351"/>
      <c r="GF11" s="351"/>
      <c r="GG11" s="305" t="s">
        <v>33</v>
      </c>
      <c r="GH11" s="305" t="s">
        <v>82</v>
      </c>
      <c r="GI11" s="305" t="s">
        <v>41</v>
      </c>
      <c r="GJ11" s="305" t="s">
        <v>78</v>
      </c>
      <c r="GK11" s="305" t="s">
        <v>41</v>
      </c>
      <c r="GL11" s="305" t="s">
        <v>36</v>
      </c>
      <c r="GM11" s="351"/>
      <c r="GN11" s="351"/>
      <c r="GO11" s="305" t="s">
        <v>33</v>
      </c>
      <c r="GP11" s="305" t="s">
        <v>82</v>
      </c>
      <c r="GQ11" s="305" t="s">
        <v>41</v>
      </c>
      <c r="GR11" s="305" t="s">
        <v>78</v>
      </c>
      <c r="GS11" s="305" t="s">
        <v>41</v>
      </c>
      <c r="GT11" s="305" t="s">
        <v>36</v>
      </c>
      <c r="GU11" s="351"/>
      <c r="GV11" s="351"/>
      <c r="GW11" s="305" t="s">
        <v>33</v>
      </c>
      <c r="GX11" s="305" t="s">
        <v>82</v>
      </c>
      <c r="GY11" s="305" t="s">
        <v>41</v>
      </c>
      <c r="GZ11" s="305" t="s">
        <v>78</v>
      </c>
      <c r="HA11" s="305" t="s">
        <v>41</v>
      </c>
      <c r="HB11" s="305" t="s">
        <v>36</v>
      </c>
      <c r="HC11" s="351"/>
      <c r="HD11" s="351"/>
      <c r="HE11" s="305" t="s">
        <v>33</v>
      </c>
      <c r="HF11" s="305" t="s">
        <v>82</v>
      </c>
      <c r="HG11" s="305" t="s">
        <v>41</v>
      </c>
      <c r="HH11" s="305" t="s">
        <v>78</v>
      </c>
      <c r="HI11" s="305" t="s">
        <v>41</v>
      </c>
      <c r="HJ11" s="305" t="s">
        <v>36</v>
      </c>
      <c r="HK11" s="351"/>
      <c r="HL11" s="351"/>
      <c r="HM11" s="305" t="s">
        <v>33</v>
      </c>
      <c r="HN11" s="305" t="s">
        <v>82</v>
      </c>
      <c r="HO11" s="305" t="s">
        <v>41</v>
      </c>
      <c r="HP11" s="305" t="s">
        <v>78</v>
      </c>
      <c r="HQ11" s="305" t="s">
        <v>41</v>
      </c>
      <c r="HR11" s="305" t="s">
        <v>36</v>
      </c>
      <c r="HS11" s="351"/>
      <c r="HT11" s="351"/>
      <c r="HU11" s="305" t="s">
        <v>33</v>
      </c>
      <c r="HV11" s="305" t="s">
        <v>82</v>
      </c>
      <c r="HW11" s="305" t="s">
        <v>41</v>
      </c>
      <c r="HX11" s="305" t="s">
        <v>78</v>
      </c>
      <c r="HY11" s="305" t="s">
        <v>41</v>
      </c>
      <c r="HZ11" s="305" t="s">
        <v>36</v>
      </c>
      <c r="IA11" s="351"/>
      <c r="IB11" s="351"/>
      <c r="IC11" s="305" t="s">
        <v>33</v>
      </c>
      <c r="ID11" s="305" t="s">
        <v>82</v>
      </c>
      <c r="IE11" s="305" t="s">
        <v>41</v>
      </c>
      <c r="IF11" s="305" t="s">
        <v>78</v>
      </c>
      <c r="IG11" s="305" t="s">
        <v>41</v>
      </c>
    </row>
    <row r="12" spans="1:241" x14ac:dyDescent="0.25">
      <c r="A12" s="352" t="s">
        <v>37</v>
      </c>
      <c r="B12" s="353" t="s">
        <v>60</v>
      </c>
      <c r="C12" s="354" t="s">
        <v>186</v>
      </c>
      <c r="D12" s="27" t="s">
        <v>190</v>
      </c>
      <c r="E12" s="311" t="s">
        <v>191</v>
      </c>
      <c r="F12" s="27" t="s">
        <v>192</v>
      </c>
      <c r="G12" s="311" t="s">
        <v>193</v>
      </c>
      <c r="H12" s="27" t="s">
        <v>194</v>
      </c>
      <c r="I12" s="355" t="s">
        <v>37</v>
      </c>
      <c r="J12" s="356" t="s">
        <v>60</v>
      </c>
      <c r="K12" s="357" t="s">
        <v>186</v>
      </c>
      <c r="L12" s="216" t="s">
        <v>190</v>
      </c>
      <c r="M12" s="305" t="s">
        <v>191</v>
      </c>
      <c r="N12" s="216" t="s">
        <v>192</v>
      </c>
      <c r="O12" s="305" t="s">
        <v>193</v>
      </c>
      <c r="P12" s="216" t="s">
        <v>194</v>
      </c>
      <c r="Q12" s="358" t="s">
        <v>37</v>
      </c>
      <c r="R12" s="359" t="s">
        <v>60</v>
      </c>
      <c r="S12" s="354" t="s">
        <v>186</v>
      </c>
      <c r="T12" s="191" t="s">
        <v>190</v>
      </c>
      <c r="U12" s="311" t="s">
        <v>191</v>
      </c>
      <c r="V12" s="191" t="s">
        <v>192</v>
      </c>
      <c r="W12" s="311" t="s">
        <v>193</v>
      </c>
      <c r="X12" s="191" t="s">
        <v>194</v>
      </c>
      <c r="Y12" s="355" t="s">
        <v>37</v>
      </c>
      <c r="Z12" s="360" t="s">
        <v>60</v>
      </c>
      <c r="AA12" s="361" t="s">
        <v>186</v>
      </c>
      <c r="AB12" s="217" t="s">
        <v>190</v>
      </c>
      <c r="AC12" s="358" t="s">
        <v>191</v>
      </c>
      <c r="AD12" s="217" t="s">
        <v>192</v>
      </c>
      <c r="AE12" s="358" t="s">
        <v>193</v>
      </c>
      <c r="AF12" s="217" t="s">
        <v>194</v>
      </c>
      <c r="AG12" s="362" t="s">
        <v>37</v>
      </c>
      <c r="AH12" s="363" t="s">
        <v>60</v>
      </c>
      <c r="AI12" s="361" t="s">
        <v>186</v>
      </c>
      <c r="AJ12" s="217" t="s">
        <v>190</v>
      </c>
      <c r="AK12" s="358" t="s">
        <v>191</v>
      </c>
      <c r="AL12" s="217" t="s">
        <v>192</v>
      </c>
      <c r="AM12" s="358" t="s">
        <v>193</v>
      </c>
      <c r="AN12" s="217" t="s">
        <v>194</v>
      </c>
      <c r="AO12" s="355" t="s">
        <v>37</v>
      </c>
      <c r="AP12" s="360" t="s">
        <v>60</v>
      </c>
      <c r="AQ12" s="361" t="s">
        <v>186</v>
      </c>
      <c r="AR12" s="217" t="s">
        <v>190</v>
      </c>
      <c r="AS12" s="358" t="s">
        <v>191</v>
      </c>
      <c r="AT12" s="217" t="s">
        <v>192</v>
      </c>
      <c r="AU12" s="358" t="s">
        <v>193</v>
      </c>
      <c r="AV12" s="217" t="s">
        <v>194</v>
      </c>
      <c r="AW12" s="217" t="s">
        <v>37</v>
      </c>
      <c r="AX12" s="360" t="s">
        <v>60</v>
      </c>
      <c r="AY12" s="361" t="s">
        <v>186</v>
      </c>
      <c r="AZ12" s="217" t="s">
        <v>190</v>
      </c>
      <c r="BA12" s="358" t="s">
        <v>191</v>
      </c>
      <c r="BB12" s="217" t="s">
        <v>192</v>
      </c>
      <c r="BC12" s="358" t="s">
        <v>193</v>
      </c>
      <c r="BD12" s="217" t="s">
        <v>194</v>
      </c>
      <c r="BE12" s="355" t="s">
        <v>122</v>
      </c>
      <c r="BF12" s="217" t="s">
        <v>37</v>
      </c>
      <c r="BG12" s="360" t="s">
        <v>60</v>
      </c>
      <c r="BH12" s="364" t="s">
        <v>186</v>
      </c>
      <c r="BI12" s="217" t="s">
        <v>190</v>
      </c>
      <c r="BJ12" s="358" t="s">
        <v>191</v>
      </c>
      <c r="BK12" s="217" t="s">
        <v>192</v>
      </c>
      <c r="BL12" s="358" t="s">
        <v>193</v>
      </c>
      <c r="BM12" s="217" t="s">
        <v>194</v>
      </c>
      <c r="BN12" s="218" t="s">
        <v>37</v>
      </c>
      <c r="BO12" s="365" t="s">
        <v>60</v>
      </c>
      <c r="BP12" s="364" t="s">
        <v>186</v>
      </c>
      <c r="BQ12" s="217" t="s">
        <v>190</v>
      </c>
      <c r="BR12" s="358" t="s">
        <v>191</v>
      </c>
      <c r="BS12" s="217" t="s">
        <v>192</v>
      </c>
      <c r="BT12" s="358" t="s">
        <v>193</v>
      </c>
      <c r="BU12" s="217" t="s">
        <v>194</v>
      </c>
      <c r="BV12" s="218" t="s">
        <v>37</v>
      </c>
      <c r="BW12" s="365" t="s">
        <v>60</v>
      </c>
      <c r="BX12" s="364" t="s">
        <v>186</v>
      </c>
      <c r="BY12" s="217" t="s">
        <v>190</v>
      </c>
      <c r="BZ12" s="358" t="s">
        <v>191</v>
      </c>
      <c r="CA12" s="217" t="s">
        <v>192</v>
      </c>
      <c r="CB12" s="358" t="s">
        <v>193</v>
      </c>
      <c r="CC12" s="217" t="s">
        <v>194</v>
      </c>
      <c r="CD12" s="218" t="s">
        <v>37</v>
      </c>
      <c r="CE12" s="365" t="s">
        <v>60</v>
      </c>
      <c r="CF12" s="364" t="s">
        <v>186</v>
      </c>
      <c r="CG12" s="217" t="s">
        <v>190</v>
      </c>
      <c r="CH12" s="358" t="s">
        <v>191</v>
      </c>
      <c r="CI12" s="217" t="s">
        <v>192</v>
      </c>
      <c r="CJ12" s="358" t="s">
        <v>193</v>
      </c>
      <c r="CK12" s="217" t="s">
        <v>194</v>
      </c>
      <c r="CL12" s="355" t="s">
        <v>37</v>
      </c>
      <c r="CM12" s="366" t="s">
        <v>60</v>
      </c>
      <c r="CN12" s="364" t="s">
        <v>186</v>
      </c>
      <c r="CO12" s="217" t="s">
        <v>190</v>
      </c>
      <c r="CP12" s="358" t="s">
        <v>191</v>
      </c>
      <c r="CQ12" s="217" t="s">
        <v>192</v>
      </c>
      <c r="CR12" s="358" t="s">
        <v>193</v>
      </c>
      <c r="CS12" s="217" t="s">
        <v>194</v>
      </c>
      <c r="CT12" s="355" t="s">
        <v>37</v>
      </c>
      <c r="CU12" s="366" t="s">
        <v>60</v>
      </c>
      <c r="CV12" s="364" t="s">
        <v>186</v>
      </c>
      <c r="CW12" s="217" t="s">
        <v>190</v>
      </c>
      <c r="CX12" s="358" t="s">
        <v>191</v>
      </c>
      <c r="CY12" s="217" t="s">
        <v>192</v>
      </c>
      <c r="CZ12" s="358" t="s">
        <v>193</v>
      </c>
      <c r="DA12" s="217" t="s">
        <v>194</v>
      </c>
      <c r="DB12" s="355" t="s">
        <v>37</v>
      </c>
      <c r="DC12" s="366" t="s">
        <v>60</v>
      </c>
      <c r="DD12" s="364" t="s">
        <v>186</v>
      </c>
      <c r="DE12" s="217" t="s">
        <v>190</v>
      </c>
      <c r="DF12" s="358" t="s">
        <v>191</v>
      </c>
      <c r="DG12" s="217" t="s">
        <v>192</v>
      </c>
      <c r="DH12" s="358" t="s">
        <v>193</v>
      </c>
      <c r="DI12" s="217" t="s">
        <v>194</v>
      </c>
      <c r="DJ12" s="355" t="s">
        <v>37</v>
      </c>
      <c r="DK12" s="366" t="s">
        <v>60</v>
      </c>
      <c r="DL12" s="364" t="s">
        <v>186</v>
      </c>
      <c r="DM12" s="217" t="s">
        <v>190</v>
      </c>
      <c r="DN12" s="358" t="s">
        <v>191</v>
      </c>
      <c r="DO12" s="217" t="s">
        <v>192</v>
      </c>
      <c r="DP12" s="358" t="s">
        <v>193</v>
      </c>
      <c r="DQ12" s="217" t="s">
        <v>194</v>
      </c>
      <c r="DR12" s="218" t="s">
        <v>37</v>
      </c>
      <c r="DS12" s="367" t="s">
        <v>60</v>
      </c>
      <c r="DT12" s="364" t="s">
        <v>186</v>
      </c>
      <c r="DU12" s="218" t="s">
        <v>190</v>
      </c>
      <c r="DV12" s="358" t="s">
        <v>191</v>
      </c>
      <c r="DW12" s="218" t="s">
        <v>192</v>
      </c>
      <c r="DX12" s="358" t="s">
        <v>193</v>
      </c>
      <c r="DY12" s="218" t="s">
        <v>194</v>
      </c>
      <c r="DZ12" s="355" t="s">
        <v>37</v>
      </c>
      <c r="EA12" s="360" t="s">
        <v>60</v>
      </c>
      <c r="EB12" s="364" t="s">
        <v>186</v>
      </c>
      <c r="EC12" s="217" t="s">
        <v>190</v>
      </c>
      <c r="ED12" s="358" t="s">
        <v>191</v>
      </c>
      <c r="EE12" s="217" t="s">
        <v>192</v>
      </c>
      <c r="EF12" s="358" t="s">
        <v>193</v>
      </c>
      <c r="EG12" s="217" t="s">
        <v>194</v>
      </c>
      <c r="EH12" s="355" t="s">
        <v>37</v>
      </c>
      <c r="EI12" s="360" t="s">
        <v>60</v>
      </c>
      <c r="EJ12" s="364" t="s">
        <v>186</v>
      </c>
      <c r="EK12" s="217" t="s">
        <v>190</v>
      </c>
      <c r="EL12" s="358" t="s">
        <v>191</v>
      </c>
      <c r="EM12" s="217" t="s">
        <v>192</v>
      </c>
      <c r="EN12" s="358" t="s">
        <v>193</v>
      </c>
      <c r="EO12" s="217" t="s">
        <v>194</v>
      </c>
      <c r="EP12" s="355" t="s">
        <v>37</v>
      </c>
      <c r="EQ12" s="360" t="s">
        <v>60</v>
      </c>
      <c r="ER12" s="364" t="s">
        <v>186</v>
      </c>
      <c r="ES12" s="217" t="s">
        <v>190</v>
      </c>
      <c r="ET12" s="358" t="s">
        <v>191</v>
      </c>
      <c r="EU12" s="217" t="s">
        <v>192</v>
      </c>
      <c r="EV12" s="358" t="s">
        <v>193</v>
      </c>
      <c r="EW12" s="217" t="s">
        <v>194</v>
      </c>
      <c r="EX12" s="355" t="s">
        <v>37</v>
      </c>
      <c r="EY12" s="360" t="s">
        <v>60</v>
      </c>
      <c r="EZ12" s="364" t="s">
        <v>186</v>
      </c>
      <c r="FA12" s="217" t="s">
        <v>190</v>
      </c>
      <c r="FB12" s="358" t="s">
        <v>191</v>
      </c>
      <c r="FC12" s="217" t="s">
        <v>192</v>
      </c>
      <c r="FD12" s="358" t="s">
        <v>193</v>
      </c>
      <c r="FE12" s="217" t="s">
        <v>194</v>
      </c>
      <c r="FF12" s="358" t="s">
        <v>37</v>
      </c>
      <c r="FG12" s="355" t="s">
        <v>60</v>
      </c>
      <c r="FH12" s="364" t="s">
        <v>186</v>
      </c>
      <c r="FI12" s="217" t="s">
        <v>190</v>
      </c>
      <c r="FJ12" s="358" t="s">
        <v>191</v>
      </c>
      <c r="FK12" s="217" t="s">
        <v>192</v>
      </c>
      <c r="FL12" s="358" t="s">
        <v>193</v>
      </c>
      <c r="FM12" s="217" t="s">
        <v>194</v>
      </c>
      <c r="FN12" s="358" t="s">
        <v>37</v>
      </c>
      <c r="FO12" s="355" t="s">
        <v>60</v>
      </c>
      <c r="FP12" s="364" t="s">
        <v>186</v>
      </c>
      <c r="FQ12" s="217" t="s">
        <v>190</v>
      </c>
      <c r="FR12" s="358" t="s">
        <v>191</v>
      </c>
      <c r="FS12" s="217" t="s">
        <v>192</v>
      </c>
      <c r="FT12" s="358" t="s">
        <v>193</v>
      </c>
      <c r="FU12" s="217" t="s">
        <v>194</v>
      </c>
      <c r="FV12" s="358" t="s">
        <v>37</v>
      </c>
      <c r="FW12" s="355" t="s">
        <v>60</v>
      </c>
      <c r="FX12" s="364" t="s">
        <v>186</v>
      </c>
      <c r="FY12" s="217" t="s">
        <v>190</v>
      </c>
      <c r="FZ12" s="358" t="s">
        <v>191</v>
      </c>
      <c r="GA12" s="217" t="s">
        <v>192</v>
      </c>
      <c r="GB12" s="358" t="s">
        <v>193</v>
      </c>
      <c r="GC12" s="217" t="s">
        <v>194</v>
      </c>
      <c r="GD12" s="358" t="s">
        <v>37</v>
      </c>
      <c r="GE12" s="355" t="s">
        <v>60</v>
      </c>
      <c r="GF12" s="364" t="s">
        <v>186</v>
      </c>
      <c r="GG12" s="217" t="s">
        <v>190</v>
      </c>
      <c r="GH12" s="358" t="s">
        <v>191</v>
      </c>
      <c r="GI12" s="217" t="s">
        <v>192</v>
      </c>
      <c r="GJ12" s="358" t="s">
        <v>193</v>
      </c>
      <c r="GK12" s="217" t="s">
        <v>194</v>
      </c>
      <c r="GL12" s="358" t="s">
        <v>37</v>
      </c>
      <c r="GM12" s="355" t="s">
        <v>60</v>
      </c>
      <c r="GN12" s="364" t="s">
        <v>186</v>
      </c>
      <c r="GO12" s="217" t="s">
        <v>190</v>
      </c>
      <c r="GP12" s="358" t="s">
        <v>191</v>
      </c>
      <c r="GQ12" s="217" t="s">
        <v>192</v>
      </c>
      <c r="GR12" s="358" t="s">
        <v>193</v>
      </c>
      <c r="GS12" s="217" t="s">
        <v>194</v>
      </c>
      <c r="GT12" s="358" t="s">
        <v>37</v>
      </c>
      <c r="GU12" s="355" t="s">
        <v>60</v>
      </c>
      <c r="GV12" s="364" t="s">
        <v>186</v>
      </c>
      <c r="GW12" s="217" t="s">
        <v>190</v>
      </c>
      <c r="GX12" s="358" t="s">
        <v>191</v>
      </c>
      <c r="GY12" s="217" t="s">
        <v>192</v>
      </c>
      <c r="GZ12" s="358" t="s">
        <v>193</v>
      </c>
      <c r="HA12" s="217" t="s">
        <v>194</v>
      </c>
      <c r="HB12" s="358" t="s">
        <v>37</v>
      </c>
      <c r="HC12" s="355" t="s">
        <v>60</v>
      </c>
      <c r="HD12" s="364" t="s">
        <v>186</v>
      </c>
      <c r="HE12" s="217" t="s">
        <v>190</v>
      </c>
      <c r="HF12" s="358" t="s">
        <v>191</v>
      </c>
      <c r="HG12" s="217" t="s">
        <v>192</v>
      </c>
      <c r="HH12" s="358" t="s">
        <v>193</v>
      </c>
      <c r="HI12" s="217" t="s">
        <v>194</v>
      </c>
      <c r="HJ12" s="358" t="s">
        <v>37</v>
      </c>
      <c r="HK12" s="355" t="s">
        <v>60</v>
      </c>
      <c r="HL12" s="364" t="s">
        <v>186</v>
      </c>
      <c r="HM12" s="217" t="s">
        <v>190</v>
      </c>
      <c r="HN12" s="358" t="s">
        <v>191</v>
      </c>
      <c r="HO12" s="217" t="s">
        <v>192</v>
      </c>
      <c r="HP12" s="358" t="s">
        <v>193</v>
      </c>
      <c r="HQ12" s="217" t="s">
        <v>194</v>
      </c>
      <c r="HR12" s="358" t="s">
        <v>37</v>
      </c>
      <c r="HS12" s="355" t="s">
        <v>60</v>
      </c>
      <c r="HT12" s="364" t="s">
        <v>186</v>
      </c>
      <c r="HU12" s="218" t="s">
        <v>190</v>
      </c>
      <c r="HV12" s="358" t="s">
        <v>191</v>
      </c>
      <c r="HW12" s="218" t="s">
        <v>192</v>
      </c>
      <c r="HX12" s="358" t="s">
        <v>193</v>
      </c>
      <c r="HY12" s="218" t="s">
        <v>194</v>
      </c>
      <c r="HZ12" s="358" t="s">
        <v>37</v>
      </c>
      <c r="IA12" s="355" t="s">
        <v>60</v>
      </c>
      <c r="IB12" s="364" t="s">
        <v>186</v>
      </c>
      <c r="IC12" s="218" t="s">
        <v>190</v>
      </c>
      <c r="ID12" s="358" t="s">
        <v>191</v>
      </c>
      <c r="IE12" s="218" t="s">
        <v>192</v>
      </c>
      <c r="IF12" s="358" t="s">
        <v>193</v>
      </c>
      <c r="IG12" s="218" t="s">
        <v>194</v>
      </c>
    </row>
    <row r="13" spans="1:241" x14ac:dyDescent="0.25">
      <c r="A13" s="28"/>
      <c r="B13" s="28"/>
      <c r="C13" s="28"/>
      <c r="D13" s="28"/>
      <c r="E13" s="28"/>
      <c r="F13" s="28"/>
      <c r="G13" s="28"/>
      <c r="H13" s="28"/>
      <c r="J13" s="21"/>
      <c r="K13" s="21"/>
      <c r="L13" s="21"/>
      <c r="M13" s="21"/>
      <c r="N13" s="21"/>
      <c r="O13" s="21"/>
      <c r="P13" s="21"/>
      <c r="Y13" s="368"/>
      <c r="Z13" s="369"/>
      <c r="AG13" s="370">
        <v>1</v>
      </c>
      <c r="AH13" s="371" t="s">
        <v>253</v>
      </c>
      <c r="AI13" s="372"/>
      <c r="AJ13" s="372"/>
      <c r="AK13" s="372"/>
      <c r="AL13" s="372"/>
      <c r="AN13" s="372"/>
      <c r="AO13" s="303"/>
      <c r="AP13" s="356"/>
      <c r="AQ13" s="356"/>
      <c r="AW13" s="216"/>
      <c r="AX13" s="216"/>
      <c r="AY13" s="216"/>
      <c r="BF13" s="216"/>
      <c r="BG13" s="216"/>
      <c r="BH13" s="216"/>
      <c r="BN13" s="316"/>
      <c r="BO13" s="316"/>
      <c r="BP13" s="316"/>
      <c r="CL13" s="216"/>
      <c r="CM13" s="216"/>
      <c r="CN13" s="216"/>
      <c r="CO13" s="216"/>
      <c r="CP13" s="216"/>
      <c r="CQ13" s="216"/>
      <c r="CR13" s="216"/>
      <c r="CS13" s="216"/>
      <c r="CT13" s="249"/>
      <c r="CU13" s="249"/>
      <c r="CV13" s="249"/>
      <c r="DB13" s="373"/>
      <c r="DC13" s="373"/>
      <c r="DD13" s="373"/>
      <c r="DE13" s="312"/>
      <c r="DF13" s="312"/>
      <c r="DG13" s="312"/>
      <c r="DH13" s="312"/>
      <c r="DI13" s="312"/>
      <c r="DJ13" s="321"/>
      <c r="DK13" s="321"/>
      <c r="DL13" s="3"/>
      <c r="DM13" s="216"/>
      <c r="DN13" s="216"/>
      <c r="DO13" s="216"/>
      <c r="DP13" s="216"/>
      <c r="DQ13" s="216"/>
      <c r="DR13" s="321"/>
      <c r="DS13" s="321"/>
      <c r="DT13" s="321"/>
      <c r="DU13" s="216"/>
      <c r="DV13" s="216"/>
      <c r="DW13" s="216"/>
      <c r="DX13" s="216"/>
      <c r="DY13" s="216"/>
      <c r="DZ13" s="249"/>
      <c r="EA13" s="249"/>
      <c r="EH13" s="249"/>
      <c r="EI13" s="374" t="s">
        <v>25</v>
      </c>
      <c r="FF13" s="249"/>
      <c r="FG13" s="249"/>
      <c r="FH13" s="249"/>
      <c r="FI13" s="249"/>
      <c r="FJ13" s="249"/>
      <c r="FK13" s="249"/>
      <c r="FL13" s="249"/>
      <c r="FM13" s="249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</row>
    <row r="14" spans="1:241" ht="14.4" x14ac:dyDescent="0.3">
      <c r="A14" s="370">
        <v>1</v>
      </c>
      <c r="B14" s="375" t="s">
        <v>1</v>
      </c>
      <c r="C14" s="376"/>
      <c r="D14" s="373"/>
      <c r="E14" s="373"/>
      <c r="F14" s="373"/>
      <c r="G14" s="373"/>
      <c r="H14" s="373"/>
      <c r="I14" s="219">
        <v>1</v>
      </c>
      <c r="J14" s="3" t="s">
        <v>486</v>
      </c>
      <c r="K14" s="3"/>
      <c r="L14" s="220" t="s">
        <v>487</v>
      </c>
      <c r="M14" s="221"/>
      <c r="N14" s="222"/>
      <c r="O14" s="220" t="s">
        <v>488</v>
      </c>
      <c r="P14" s="222"/>
      <c r="Q14" s="248">
        <v>1</v>
      </c>
      <c r="R14" s="337" t="s">
        <v>106</v>
      </c>
      <c r="S14" s="337"/>
      <c r="T14" s="377">
        <v>31944158.879999999</v>
      </c>
      <c r="U14" s="377">
        <v>20646290.180616394</v>
      </c>
      <c r="V14" s="377">
        <f>U14-T14</f>
        <v>-11297868.699383605</v>
      </c>
      <c r="W14" s="377">
        <f>U14</f>
        <v>20646290.180616394</v>
      </c>
      <c r="X14" s="377">
        <f>W14-U14</f>
        <v>0</v>
      </c>
      <c r="Y14" s="248">
        <v>1</v>
      </c>
      <c r="Z14" s="369" t="s">
        <v>23</v>
      </c>
      <c r="AB14" s="377">
        <v>0</v>
      </c>
      <c r="AC14" s="378">
        <f>+Summary!E57</f>
        <v>2092074132.4581106</v>
      </c>
      <c r="AD14" s="378">
        <f>+Summary!E57</f>
        <v>2092074132.4581106</v>
      </c>
      <c r="AE14" s="378">
        <f>Summary!G57</f>
        <v>2142648725.4966133</v>
      </c>
      <c r="AF14" s="378">
        <f>+AE14-AD14</f>
        <v>50574593.038502693</v>
      </c>
      <c r="AG14" s="370">
        <f>AG13+1</f>
        <v>2</v>
      </c>
      <c r="AH14" s="379" t="s">
        <v>254</v>
      </c>
      <c r="AI14" s="380"/>
      <c r="AJ14" s="317">
        <v>5022860.7894830378</v>
      </c>
      <c r="AK14" s="381">
        <v>0</v>
      </c>
      <c r="AL14" s="317">
        <f>AK14-AJ14</f>
        <v>-5022860.7894830378</v>
      </c>
      <c r="AM14" s="381">
        <f>AK14</f>
        <v>0</v>
      </c>
      <c r="AN14" s="381">
        <f>+AM14-AK14</f>
        <v>0</v>
      </c>
      <c r="AO14" s="248">
        <v>1</v>
      </c>
      <c r="AP14" s="225" t="s">
        <v>116</v>
      </c>
      <c r="AQ14" s="225"/>
      <c r="AR14" s="225">
        <v>-1380897.52</v>
      </c>
      <c r="AS14" s="225">
        <v>243867.49333333332</v>
      </c>
      <c r="AT14" s="225">
        <f>AS14-AR14</f>
        <v>1624765.0133333334</v>
      </c>
      <c r="AU14" s="11">
        <f>+AS14</f>
        <v>243867.49333333332</v>
      </c>
      <c r="AV14" s="225">
        <f>+AU14-AS14</f>
        <v>0</v>
      </c>
      <c r="AW14" s="8">
        <v>1</v>
      </c>
      <c r="AX14" s="8"/>
      <c r="AY14" s="8"/>
      <c r="AZ14" s="382"/>
      <c r="BA14" s="383"/>
      <c r="BB14" s="383"/>
      <c r="BC14" s="383"/>
      <c r="BD14" s="383"/>
      <c r="BE14" s="216"/>
      <c r="BF14" s="219">
        <v>1</v>
      </c>
      <c r="BG14" s="5" t="s">
        <v>313</v>
      </c>
      <c r="BI14" s="11"/>
      <c r="BJ14" s="11"/>
      <c r="BK14" s="11"/>
      <c r="BL14" s="11"/>
      <c r="BM14" s="11"/>
      <c r="BN14" s="384">
        <v>1</v>
      </c>
      <c r="BO14" s="385" t="s">
        <v>172</v>
      </c>
      <c r="BP14" s="385"/>
      <c r="BQ14" s="225">
        <v>34660463.048212998</v>
      </c>
      <c r="BR14" s="225">
        <v>34517801.980430998</v>
      </c>
      <c r="BS14" s="225">
        <f>BR14-BQ14</f>
        <v>-142661.06778199971</v>
      </c>
      <c r="BT14" s="225">
        <v>34660463.048212998</v>
      </c>
      <c r="BU14" s="225">
        <f>BT14-BR14</f>
        <v>142661.06778199971</v>
      </c>
      <c r="BV14" s="219">
        <v>1</v>
      </c>
      <c r="BW14" s="321" t="s">
        <v>306</v>
      </c>
      <c r="BX14" s="321"/>
      <c r="BY14" s="49">
        <v>60814.661506623946</v>
      </c>
      <c r="BZ14" s="49">
        <v>55965.26325353235</v>
      </c>
      <c r="CA14" s="386">
        <f>+BZ14-BY14</f>
        <v>-4849.3982530915964</v>
      </c>
      <c r="CB14" s="49">
        <f>+BY14</f>
        <v>60814.661506623946</v>
      </c>
      <c r="CC14" s="49">
        <f>+CB14-BZ14</f>
        <v>4849.3982530915964</v>
      </c>
      <c r="CD14" s="387">
        <v>1</v>
      </c>
      <c r="CE14" s="388" t="s">
        <v>133</v>
      </c>
      <c r="CG14" s="11">
        <v>0</v>
      </c>
      <c r="CH14" s="11">
        <v>204503.64267608413</v>
      </c>
      <c r="CI14" s="11">
        <f>+CH14-CG14</f>
        <v>204503.64267608413</v>
      </c>
      <c r="CJ14" s="11">
        <f>CH14</f>
        <v>204503.64267608413</v>
      </c>
      <c r="CK14" s="11">
        <f>CJ14-CH14</f>
        <v>0</v>
      </c>
      <c r="CL14" s="219">
        <v>1</v>
      </c>
      <c r="CM14" s="389" t="s">
        <v>135</v>
      </c>
      <c r="CN14" s="389"/>
      <c r="CO14" s="382"/>
      <c r="CP14" s="383"/>
      <c r="CQ14" s="383"/>
      <c r="CR14" s="383"/>
      <c r="CS14" s="383"/>
      <c r="CT14" s="248">
        <v>1</v>
      </c>
      <c r="CU14" s="249" t="s">
        <v>141</v>
      </c>
      <c r="CV14" s="249"/>
      <c r="CW14" s="390">
        <v>2033423.3546339665</v>
      </c>
      <c r="CX14" s="390">
        <v>3008677.465349237</v>
      </c>
      <c r="CY14" s="390">
        <f>CX14-CW14</f>
        <v>975254.11071527051</v>
      </c>
      <c r="CZ14" s="390">
        <f>CX14</f>
        <v>3008677.465349237</v>
      </c>
      <c r="DA14" s="390">
        <f>CZ14-CX14</f>
        <v>0</v>
      </c>
      <c r="DB14" s="387">
        <v>1</v>
      </c>
      <c r="DC14" s="249" t="s">
        <v>138</v>
      </c>
      <c r="DD14" s="390"/>
      <c r="DE14" s="390">
        <v>149851.99538199999</v>
      </c>
      <c r="DF14" s="390">
        <v>121922.86461600001</v>
      </c>
      <c r="DG14" s="390">
        <f>DF14-DE14</f>
        <v>-27929.130765999987</v>
      </c>
      <c r="DH14" s="390">
        <v>139710.59841226495</v>
      </c>
      <c r="DI14" s="390">
        <f>DH14-DF14</f>
        <v>17787.733796264947</v>
      </c>
      <c r="DJ14" s="219">
        <v>1</v>
      </c>
      <c r="DK14" s="391" t="s">
        <v>143</v>
      </c>
      <c r="DL14" s="321"/>
      <c r="DM14" s="49"/>
      <c r="DN14" s="49"/>
      <c r="DO14" s="386"/>
      <c r="DP14" s="49"/>
      <c r="DQ14" s="49"/>
      <c r="DR14" s="219">
        <v>1</v>
      </c>
      <c r="DS14" s="392" t="s">
        <v>298</v>
      </c>
      <c r="DT14" s="3"/>
      <c r="DU14" s="49"/>
      <c r="DV14" s="49"/>
      <c r="DW14" s="386"/>
      <c r="DX14" s="49"/>
      <c r="DY14" s="49"/>
      <c r="DZ14" s="248">
        <v>1</v>
      </c>
      <c r="EA14" s="393" t="s">
        <v>152</v>
      </c>
      <c r="EH14" s="248">
        <v>1</v>
      </c>
      <c r="EI14" s="394" t="s">
        <v>26</v>
      </c>
      <c r="EK14" s="386">
        <v>4100600279.3772311</v>
      </c>
      <c r="EL14" s="386">
        <v>4300940372.1867046</v>
      </c>
      <c r="EM14" s="386">
        <f>EL14-EK14</f>
        <v>200340092.80947351</v>
      </c>
      <c r="EN14" s="386">
        <f>EL14</f>
        <v>4300940372.1867046</v>
      </c>
      <c r="EO14" s="386">
        <f>EN14-EL14</f>
        <v>0</v>
      </c>
      <c r="EP14" s="8">
        <v>1</v>
      </c>
      <c r="EQ14" s="249" t="s">
        <v>403</v>
      </c>
      <c r="ER14" s="219"/>
      <c r="ES14" s="49">
        <v>107878753.22000001</v>
      </c>
      <c r="ET14" s="49">
        <v>111415455.8932782</v>
      </c>
      <c r="EU14" s="49">
        <f>ET14-ES14</f>
        <v>3536702.6732781827</v>
      </c>
      <c r="EV14" s="49">
        <f>ET14</f>
        <v>111415455.8932782</v>
      </c>
      <c r="EW14" s="49">
        <f>EV14-ET14</f>
        <v>0</v>
      </c>
      <c r="EX14" s="219">
        <v>1</v>
      </c>
      <c r="EY14" s="3" t="s">
        <v>241</v>
      </c>
      <c r="EZ14" s="3"/>
      <c r="FA14" s="49"/>
      <c r="FB14" s="49"/>
      <c r="FC14" s="49"/>
      <c r="FD14" s="49"/>
      <c r="FE14" s="49"/>
      <c r="FF14" s="248">
        <v>1</v>
      </c>
      <c r="FG14" s="395"/>
      <c r="FH14" s="396"/>
      <c r="FI14" s="397"/>
      <c r="FJ14" s="397"/>
      <c r="FK14" s="398"/>
      <c r="FL14" s="399"/>
      <c r="FM14" s="399"/>
      <c r="FN14" s="248">
        <v>1</v>
      </c>
      <c r="FO14" s="400" t="s">
        <v>351</v>
      </c>
      <c r="FP14" s="400"/>
      <c r="FQ14" s="400"/>
      <c r="FR14" s="400"/>
      <c r="FS14" s="401"/>
      <c r="FT14" s="401"/>
      <c r="FU14" s="401"/>
      <c r="FV14" s="219">
        <v>1</v>
      </c>
      <c r="FW14" s="389"/>
      <c r="FX14" s="389"/>
      <c r="FY14" s="382"/>
      <c r="FZ14" s="383"/>
      <c r="GA14" s="383"/>
      <c r="GB14" s="383"/>
      <c r="GC14" s="383"/>
      <c r="GD14" s="402">
        <v>1</v>
      </c>
      <c r="GE14" s="400" t="s">
        <v>351</v>
      </c>
      <c r="GF14" s="400"/>
      <c r="GG14" s="401"/>
      <c r="GH14" s="401"/>
      <c r="GI14" s="401"/>
      <c r="GJ14" s="401"/>
      <c r="GK14" s="401"/>
      <c r="GL14" s="8">
        <v>1</v>
      </c>
      <c r="GM14" s="223" t="s">
        <v>241</v>
      </c>
      <c r="GT14" s="248">
        <v>1</v>
      </c>
      <c r="GU14" s="376" t="s">
        <v>368</v>
      </c>
      <c r="GV14" s="400"/>
      <c r="GW14" s="225"/>
      <c r="GX14" s="225"/>
      <c r="GY14" s="225"/>
      <c r="GZ14" s="225"/>
      <c r="HA14" s="225"/>
      <c r="HB14" s="219">
        <v>1</v>
      </c>
      <c r="HC14" s="371" t="s">
        <v>344</v>
      </c>
      <c r="HD14" s="3"/>
      <c r="HE14" s="3"/>
      <c r="HF14" s="3"/>
      <c r="HG14" s="3"/>
      <c r="HH14" s="3"/>
      <c r="HI14" s="3"/>
      <c r="HJ14" s="8">
        <v>1</v>
      </c>
      <c r="HK14" s="337" t="s">
        <v>6</v>
      </c>
      <c r="HM14" s="11">
        <v>1477.51</v>
      </c>
      <c r="HN14" s="11">
        <v>1477.51</v>
      </c>
      <c r="HO14" s="11">
        <f>HN14-HM14</f>
        <v>0</v>
      </c>
      <c r="HP14" s="11">
        <v>1521.84</v>
      </c>
      <c r="HQ14" s="11">
        <f>HP14-HN14</f>
        <v>44.329999999999927</v>
      </c>
      <c r="HR14" s="219">
        <v>1</v>
      </c>
      <c r="HS14" s="249" t="s">
        <v>351</v>
      </c>
      <c r="HT14" s="3"/>
      <c r="HU14" s="3"/>
      <c r="HV14" s="3"/>
      <c r="HW14" s="3"/>
      <c r="HX14" s="3"/>
      <c r="HY14" s="3"/>
      <c r="HZ14" s="219">
        <v>1</v>
      </c>
      <c r="IA14" s="403" t="s">
        <v>351</v>
      </c>
      <c r="IB14" s="404"/>
      <c r="IC14" s="404"/>
      <c r="ID14" s="404"/>
      <c r="IE14" s="404"/>
      <c r="IF14" s="404"/>
      <c r="IG14" s="404"/>
    </row>
    <row r="15" spans="1:241" ht="14.4" x14ac:dyDescent="0.3">
      <c r="A15" s="370">
        <f t="shared" ref="A15:A48" si="0">+A14+1</f>
        <v>2</v>
      </c>
      <c r="B15" s="405" t="s">
        <v>446</v>
      </c>
      <c r="C15" s="406"/>
      <c r="D15" s="672" t="s">
        <v>455</v>
      </c>
      <c r="E15" s="407"/>
      <c r="F15" s="408">
        <v>0</v>
      </c>
      <c r="G15" s="672" t="s">
        <v>455</v>
      </c>
      <c r="H15" s="408">
        <v>50971.28</v>
      </c>
      <c r="I15" s="219">
        <f>I14+1</f>
        <v>2</v>
      </c>
      <c r="J15" s="409" t="s">
        <v>466</v>
      </c>
      <c r="K15" s="3"/>
      <c r="L15" s="45">
        <v>248449022.34599999</v>
      </c>
      <c r="M15" s="45">
        <v>251792569.551236</v>
      </c>
      <c r="N15" s="45">
        <f>M15-L15</f>
        <v>3343547.2052360177</v>
      </c>
      <c r="O15" s="45">
        <v>301813546.28506947</v>
      </c>
      <c r="P15" s="46">
        <v>50020976.733833477</v>
      </c>
      <c r="Q15" s="248">
        <f t="shared" ref="Q15:Q17" si="1">Q14+1</f>
        <v>2</v>
      </c>
      <c r="R15" s="337" t="s">
        <v>107</v>
      </c>
      <c r="S15" s="337"/>
      <c r="T15" s="315">
        <v>-9558130.5900000036</v>
      </c>
      <c r="U15" s="410">
        <v>523319.51868811855</v>
      </c>
      <c r="V15" s="315">
        <f>U15-T15</f>
        <v>10081450.108688122</v>
      </c>
      <c r="W15" s="411">
        <f>U15</f>
        <v>523319.51868811855</v>
      </c>
      <c r="X15" s="1">
        <f t="shared" ref="X15" si="2">W15-U15</f>
        <v>0</v>
      </c>
      <c r="Y15" s="248">
        <f t="shared" ref="Y15:Y22" si="3">Y14+1</f>
        <v>2</v>
      </c>
      <c r="Z15" s="369" t="s">
        <v>110</v>
      </c>
      <c r="AB15" s="18"/>
      <c r="AC15" s="18"/>
      <c r="AD15" s="18"/>
      <c r="AE15" s="18"/>
      <c r="AF15" s="18"/>
      <c r="AG15" s="370">
        <f t="shared" ref="AG15:AG45" si="4">AG14+1</f>
        <v>3</v>
      </c>
      <c r="AH15" s="379" t="s">
        <v>255</v>
      </c>
      <c r="AI15" s="412"/>
      <c r="AJ15" s="320">
        <v>15312447.357404472</v>
      </c>
      <c r="AK15" s="413">
        <v>0</v>
      </c>
      <c r="AL15" s="320">
        <f t="shared" ref="AL15:AL24" si="5">AK15-AJ15</f>
        <v>-15312447.357404472</v>
      </c>
      <c r="AM15" s="413">
        <f t="shared" ref="AM15:AM24" si="6">AK15</f>
        <v>0</v>
      </c>
      <c r="AN15" s="413">
        <f t="shared" ref="AN15:AN24" si="7">+AM15-AK15</f>
        <v>0</v>
      </c>
      <c r="AO15" s="248">
        <f t="shared" ref="AO15:AO21" si="8">AO14+1</f>
        <v>2</v>
      </c>
      <c r="AP15" s="225" t="s">
        <v>117</v>
      </c>
      <c r="AQ15" s="225"/>
      <c r="AR15" s="414">
        <v>915434.50818377954</v>
      </c>
      <c r="AS15" s="414">
        <v>880946.86970319226</v>
      </c>
      <c r="AT15" s="414">
        <f>AS15-AR15</f>
        <v>-34487.63848058728</v>
      </c>
      <c r="AU15" s="20">
        <f>+AS15</f>
        <v>880946.86970319226</v>
      </c>
      <c r="AV15" s="230">
        <f>+AU15-AS15</f>
        <v>0</v>
      </c>
      <c r="AW15" s="8">
        <f>AW14+1</f>
        <v>2</v>
      </c>
      <c r="AX15" s="415" t="s">
        <v>188</v>
      </c>
      <c r="AY15" s="415"/>
      <c r="AZ15" s="383">
        <v>4333223.3545110002</v>
      </c>
      <c r="BA15" s="383">
        <v>4491993.9301330792</v>
      </c>
      <c r="BB15" s="383">
        <f>BA15-AZ15</f>
        <v>158770.57562207896</v>
      </c>
      <c r="BC15" s="383">
        <f>BA15</f>
        <v>4491993.9301330792</v>
      </c>
      <c r="BD15" s="383">
        <f>BC15-BA15</f>
        <v>0</v>
      </c>
      <c r="BE15" s="416"/>
      <c r="BF15" s="219">
        <f t="shared" ref="BF15:BF30" si="9">BF14+1</f>
        <v>2</v>
      </c>
      <c r="BG15" s="417" t="s">
        <v>294</v>
      </c>
      <c r="BI15" s="383">
        <v>6401.1338036276547</v>
      </c>
      <c r="BJ15" s="383">
        <v>6786.3900751868023</v>
      </c>
      <c r="BK15" s="383">
        <v>385.25627155914754</v>
      </c>
      <c r="BL15" s="383">
        <v>6786.3900751868023</v>
      </c>
      <c r="BM15" s="383">
        <v>0</v>
      </c>
      <c r="BN15" s="384">
        <v>2</v>
      </c>
      <c r="BO15" s="385" t="s">
        <v>173</v>
      </c>
      <c r="BP15" s="385"/>
      <c r="BQ15" s="224">
        <v>1699067.74</v>
      </c>
      <c r="BR15" s="224">
        <v>1753265.3513399998</v>
      </c>
      <c r="BS15" s="418">
        <f>BR15-BQ15</f>
        <v>54197.611339999828</v>
      </c>
      <c r="BT15" s="224">
        <v>1699067.74</v>
      </c>
      <c r="BU15" s="419">
        <f>BT15-BR15</f>
        <v>-54197.611339999828</v>
      </c>
      <c r="BV15" s="219">
        <f t="shared" ref="BV15:BV22" si="10">BV14+1</f>
        <v>2</v>
      </c>
      <c r="BW15" s="321"/>
      <c r="BX15" s="321"/>
      <c r="BY15" s="193"/>
      <c r="BZ15" s="193"/>
      <c r="CA15" s="193"/>
      <c r="CB15" s="193"/>
      <c r="CC15" s="193"/>
      <c r="CD15" s="387">
        <f t="shared" ref="CD15:CD16" si="11">CD14+1</f>
        <v>2</v>
      </c>
      <c r="CE15" s="249"/>
      <c r="CG15" s="193"/>
      <c r="CH15" s="193"/>
      <c r="CI15" s="193"/>
      <c r="CJ15" s="193"/>
      <c r="CK15" s="193"/>
      <c r="CL15" s="219">
        <f t="shared" ref="CL15:CL20" si="12">+CL14+1</f>
        <v>2</v>
      </c>
      <c r="CM15" s="337"/>
      <c r="CN15" s="337"/>
      <c r="CT15" s="248">
        <f>CT14+1</f>
        <v>2</v>
      </c>
      <c r="CU15" s="337" t="s">
        <v>86</v>
      </c>
      <c r="CV15" s="337"/>
      <c r="CW15" s="420">
        <f>SUM(CW14:CW14)</f>
        <v>2033423.3546339665</v>
      </c>
      <c r="CX15" s="420">
        <f>SUM(CX14:CX14)</f>
        <v>3008677.465349237</v>
      </c>
      <c r="CY15" s="420">
        <f>SUM(CY14:CY14)</f>
        <v>975254.11071527051</v>
      </c>
      <c r="CZ15" s="420">
        <f>SUM(CZ14)</f>
        <v>3008677.465349237</v>
      </c>
      <c r="DA15" s="420">
        <f>SUM(DA14)</f>
        <v>0</v>
      </c>
      <c r="DB15" s="387">
        <f t="shared" ref="DB15:DB19" si="13">DB14+1</f>
        <v>2</v>
      </c>
      <c r="DC15" s="249" t="s">
        <v>139</v>
      </c>
      <c r="DD15" s="410"/>
      <c r="DE15" s="421">
        <v>1079998.6559106729</v>
      </c>
      <c r="DF15" s="421">
        <v>1174568.4443488119</v>
      </c>
      <c r="DG15" s="422">
        <f>DF15-DE15</f>
        <v>94569.788438139018</v>
      </c>
      <c r="DH15" s="421">
        <v>1187768.3315261228</v>
      </c>
      <c r="DI15" s="421">
        <f>DH15-DF15</f>
        <v>13199.887177310884</v>
      </c>
      <c r="DJ15" s="219">
        <f t="shared" ref="DJ15:DJ31" si="14">+DJ14+1</f>
        <v>2</v>
      </c>
      <c r="DK15" s="406" t="s">
        <v>294</v>
      </c>
      <c r="DL15" s="321"/>
      <c r="DM15" s="49">
        <v>87900.023997021053</v>
      </c>
      <c r="DN15" s="49">
        <v>88886.105385896954</v>
      </c>
      <c r="DO15" s="386">
        <f t="shared" ref="DO15:DO23" si="15">+DN15-DM15</f>
        <v>986.0813888759003</v>
      </c>
      <c r="DP15" s="49">
        <v>93145.827811614639</v>
      </c>
      <c r="DQ15" s="49">
        <f t="shared" ref="DQ15:DQ23" si="16">+DP15-DN15</f>
        <v>4259.7224257176858</v>
      </c>
      <c r="DR15" s="219">
        <f t="shared" ref="DR15:DR34" si="17">DR14+1</f>
        <v>2</v>
      </c>
      <c r="DS15" s="319" t="s">
        <v>147</v>
      </c>
      <c r="DT15" s="219"/>
      <c r="DU15" s="386">
        <v>4258316.1606000001</v>
      </c>
      <c r="DV15" s="386">
        <v>4258316.1606000001</v>
      </c>
      <c r="DW15" s="386">
        <f>+DV15-DU15</f>
        <v>0</v>
      </c>
      <c r="DX15" s="386">
        <v>4421409.6695509804</v>
      </c>
      <c r="DY15" s="386">
        <f>+DX15-DV15</f>
        <v>163093.50895098038</v>
      </c>
      <c r="DZ15" s="248">
        <v>2</v>
      </c>
      <c r="EA15" s="321" t="s">
        <v>287</v>
      </c>
      <c r="EC15" s="386">
        <v>8855913.9655213989</v>
      </c>
      <c r="ED15" s="386">
        <v>8840311.0115771983</v>
      </c>
      <c r="EE15" s="386">
        <f>ED15-EC15</f>
        <v>-15602.95394420065</v>
      </c>
      <c r="EF15" s="386">
        <v>9350086.0560744014</v>
      </c>
      <c r="EG15" s="386">
        <f>EF15-ED15</f>
        <v>509775.04449720308</v>
      </c>
      <c r="EH15" s="248">
        <f>EH14+1</f>
        <v>2</v>
      </c>
      <c r="EI15" s="394" t="s">
        <v>27</v>
      </c>
      <c r="EK15" s="1">
        <v>-1569795173.3202429</v>
      </c>
      <c r="EL15" s="224">
        <v>-1625310954.9975498</v>
      </c>
      <c r="EM15" s="1">
        <f t="shared" ref="EM15:EM19" si="18">EL15-EK15</f>
        <v>-55515781.67730689</v>
      </c>
      <c r="EN15" s="224">
        <f t="shared" ref="EN15:EN19" si="19">EL15</f>
        <v>-1625310954.9975498</v>
      </c>
      <c r="EO15" s="1">
        <f t="shared" ref="EO15:EO19" si="20">EN15-EL15</f>
        <v>0</v>
      </c>
      <c r="EP15" s="8">
        <f>EP14+1</f>
        <v>2</v>
      </c>
      <c r="EQ15" s="337" t="s">
        <v>404</v>
      </c>
      <c r="ER15" s="8"/>
      <c r="ES15" s="224">
        <v>8928406.3818600178</v>
      </c>
      <c r="ET15" s="224">
        <v>9523330.3541565742</v>
      </c>
      <c r="EU15" s="224">
        <f>ET15-ES15</f>
        <v>594923.97229655646</v>
      </c>
      <c r="EV15" s="224">
        <f t="shared" ref="EV15" si="21">ET15</f>
        <v>9523330.3541565742</v>
      </c>
      <c r="EW15" s="224">
        <f>EV15-ET15</f>
        <v>0</v>
      </c>
      <c r="EX15" s="219">
        <f t="shared" ref="EX15:EX20" si="22">EX14+1</f>
        <v>2</v>
      </c>
      <c r="EY15" s="3" t="s">
        <v>242</v>
      </c>
      <c r="EZ15" s="3"/>
      <c r="FA15" s="49">
        <v>116306.4</v>
      </c>
      <c r="FB15" s="49">
        <v>116306.4</v>
      </c>
      <c r="FC15" s="49">
        <f>FB15-FA15</f>
        <v>0</v>
      </c>
      <c r="FD15" s="49">
        <v>24348.123333333362</v>
      </c>
      <c r="FE15" s="49">
        <f>FD15-FB15</f>
        <v>-91958.276666666628</v>
      </c>
      <c r="FF15" s="248">
        <f>FF14+1</f>
        <v>2</v>
      </c>
      <c r="FG15" s="423" t="s">
        <v>489</v>
      </c>
      <c r="FH15" s="314"/>
      <c r="FI15" s="424">
        <v>8603273.5200000051</v>
      </c>
      <c r="FJ15" s="424">
        <v>8603273.5200000051</v>
      </c>
      <c r="FK15" s="425">
        <f>FJ15-FI15</f>
        <v>0</v>
      </c>
      <c r="FL15" s="425">
        <v>9460164.1915668994</v>
      </c>
      <c r="FM15" s="425">
        <f>FL15-FJ15</f>
        <v>856890.67156689428</v>
      </c>
      <c r="FN15" s="248">
        <f>FN14+1</f>
        <v>2</v>
      </c>
      <c r="FO15" s="400" t="s">
        <v>374</v>
      </c>
      <c r="FP15" s="400"/>
      <c r="FQ15" s="400"/>
      <c r="FR15" s="400"/>
      <c r="FS15" s="401"/>
      <c r="FT15" s="401"/>
      <c r="FU15" s="401"/>
      <c r="FV15" s="219">
        <v>2</v>
      </c>
      <c r="FW15" s="7" t="s">
        <v>338</v>
      </c>
      <c r="FX15" s="426"/>
      <c r="FY15" s="408">
        <v>525851.89837950014</v>
      </c>
      <c r="FZ15" s="408">
        <v>0</v>
      </c>
      <c r="GA15" s="408">
        <f>FZ15-FY15</f>
        <v>-525851.89837950014</v>
      </c>
      <c r="GB15" s="408">
        <v>0</v>
      </c>
      <c r="GC15" s="408">
        <f>GB15-FZ15</f>
        <v>0</v>
      </c>
      <c r="GD15" s="402">
        <f>+GD14+1</f>
        <v>2</v>
      </c>
      <c r="GE15" s="400" t="s">
        <v>374</v>
      </c>
      <c r="GF15" s="400"/>
      <c r="GG15" s="401"/>
      <c r="GH15" s="401"/>
      <c r="GI15" s="401"/>
      <c r="GJ15" s="401"/>
      <c r="GK15" s="401"/>
      <c r="GL15" s="8">
        <f>GL14+1</f>
        <v>2</v>
      </c>
      <c r="GM15" s="223" t="s">
        <v>242</v>
      </c>
      <c r="GN15" s="3"/>
      <c r="GO15" s="225">
        <v>597372</v>
      </c>
      <c r="GP15" s="225">
        <v>597372</v>
      </c>
      <c r="GQ15" s="225">
        <f>GP15-GO15</f>
        <v>0</v>
      </c>
      <c r="GR15" s="225">
        <v>161804.418725</v>
      </c>
      <c r="GS15" s="225">
        <f>GR15-GP15</f>
        <v>-435567.581275</v>
      </c>
      <c r="GT15" s="248">
        <v>2</v>
      </c>
      <c r="GU15" s="373" t="s">
        <v>369</v>
      </c>
      <c r="GV15" s="400"/>
      <c r="GW15" s="225">
        <v>-2890521.5106920004</v>
      </c>
      <c r="GX15" s="225">
        <f>GW15</f>
        <v>-2890521.5106920004</v>
      </c>
      <c r="GY15" s="225">
        <f>GX15-GW15</f>
        <v>0</v>
      </c>
      <c r="GZ15" s="225">
        <v>-2529206.3218555013</v>
      </c>
      <c r="HA15" s="225">
        <f>GZ15-GX15</f>
        <v>361315.18883649912</v>
      </c>
      <c r="HB15" s="219">
        <v>2</v>
      </c>
      <c r="HC15" s="427" t="s">
        <v>345</v>
      </c>
      <c r="HD15" s="3"/>
      <c r="HE15" s="49">
        <v>0</v>
      </c>
      <c r="HF15" s="49">
        <f>+HE15</f>
        <v>0</v>
      </c>
      <c r="HG15" s="49">
        <f>HF15-HE15</f>
        <v>0</v>
      </c>
      <c r="HH15" s="49">
        <v>17789424.770000003</v>
      </c>
      <c r="HI15" s="49">
        <f>HH15-HG15</f>
        <v>17789424.770000003</v>
      </c>
      <c r="HJ15" s="8">
        <f>HJ14+1</f>
        <v>2</v>
      </c>
      <c r="HK15" s="337" t="s">
        <v>7</v>
      </c>
      <c r="HL15" s="3"/>
      <c r="HM15" s="224">
        <v>1905.79</v>
      </c>
      <c r="HN15" s="224">
        <v>1905.79</v>
      </c>
      <c r="HO15" s="224">
        <f t="shared" ref="HO15:HO18" si="23">HN15-HM15</f>
        <v>0</v>
      </c>
      <c r="HP15" s="224">
        <v>1963.54</v>
      </c>
      <c r="HQ15" s="224">
        <f t="shared" ref="HQ15:HQ18" si="24">HP15-HN15</f>
        <v>57.75</v>
      </c>
      <c r="HR15" s="219">
        <f>HR14+1</f>
        <v>2</v>
      </c>
      <c r="HS15" s="249" t="s">
        <v>401</v>
      </c>
      <c r="HT15" s="3"/>
      <c r="HU15" s="225"/>
      <c r="HV15" s="225"/>
      <c r="HW15" s="225"/>
      <c r="HX15" s="225"/>
      <c r="HY15" s="225"/>
      <c r="HZ15" s="219">
        <f>HZ14+1</f>
        <v>2</v>
      </c>
      <c r="IA15" s="403"/>
      <c r="IB15" s="404"/>
      <c r="IC15" s="428"/>
      <c r="ID15" s="428"/>
      <c r="IE15" s="428"/>
      <c r="IF15" s="428"/>
      <c r="IG15" s="428"/>
    </row>
    <row r="16" spans="1:241" ht="15" thickBot="1" x14ac:dyDescent="0.35">
      <c r="A16" s="370">
        <f t="shared" si="0"/>
        <v>3</v>
      </c>
      <c r="B16" s="405" t="s">
        <v>447</v>
      </c>
      <c r="C16" s="406"/>
      <c r="D16" s="672"/>
      <c r="E16" s="407"/>
      <c r="F16" s="429">
        <v>-39957602.53799925</v>
      </c>
      <c r="G16" s="672"/>
      <c r="H16" s="320">
        <v>0</v>
      </c>
      <c r="I16" s="219">
        <f t="shared" ref="I16:I23" si="25">I15+1</f>
        <v>3</v>
      </c>
      <c r="J16" s="426"/>
      <c r="K16" s="3"/>
      <c r="L16" s="3"/>
      <c r="M16" s="3"/>
      <c r="N16" s="3"/>
      <c r="O16" s="3"/>
      <c r="P16" s="3"/>
      <c r="Q16" s="248">
        <f t="shared" si="1"/>
        <v>3</v>
      </c>
      <c r="R16" s="249"/>
      <c r="S16" s="249"/>
      <c r="T16" s="430"/>
      <c r="U16" s="430"/>
      <c r="V16" s="430"/>
      <c r="W16" s="430"/>
      <c r="X16" s="430"/>
      <c r="Y16" s="248">
        <f t="shared" si="3"/>
        <v>3</v>
      </c>
      <c r="Z16" s="373"/>
      <c r="AB16" s="408"/>
      <c r="AC16" s="408"/>
      <c r="AD16" s="408"/>
      <c r="AE16" s="408"/>
      <c r="AF16" s="18"/>
      <c r="AG16" s="370">
        <f t="shared" si="4"/>
        <v>4</v>
      </c>
      <c r="AH16" s="379" t="s">
        <v>164</v>
      </c>
      <c r="AI16" s="412"/>
      <c r="AJ16" s="320">
        <v>22625480.126507826</v>
      </c>
      <c r="AK16" s="413">
        <v>0</v>
      </c>
      <c r="AL16" s="320">
        <f t="shared" si="5"/>
        <v>-22625480.126507826</v>
      </c>
      <c r="AM16" s="413">
        <f t="shared" si="6"/>
        <v>0</v>
      </c>
      <c r="AN16" s="413">
        <f t="shared" si="7"/>
        <v>0</v>
      </c>
      <c r="AO16" s="248">
        <f t="shared" si="8"/>
        <v>3</v>
      </c>
      <c r="AP16" s="225" t="s">
        <v>118</v>
      </c>
      <c r="AQ16" s="225"/>
      <c r="AR16" s="431">
        <f>SUM(AR14:AR15)</f>
        <v>-465463.01181622047</v>
      </c>
      <c r="AS16" s="431">
        <f>SUM(AS14:AS15)</f>
        <v>1124814.3630365257</v>
      </c>
      <c r="AT16" s="431">
        <f t="shared" ref="AT16" si="26">SUM(AT14:AT15)</f>
        <v>1590277.3748527463</v>
      </c>
      <c r="AU16" s="431">
        <f>SUM(AU14:AU15)</f>
        <v>1124814.3630365257</v>
      </c>
      <c r="AV16" s="431">
        <f>SUM(AV14:AV15)</f>
        <v>0</v>
      </c>
      <c r="AW16" s="8">
        <f t="shared" ref="AW16:AW19" si="27">AW15+1</f>
        <v>3</v>
      </c>
      <c r="AX16" s="8"/>
      <c r="AY16" s="8"/>
      <c r="AZ16" s="383"/>
      <c r="BA16" s="383"/>
      <c r="BB16" s="383"/>
      <c r="BC16" s="383"/>
      <c r="BD16" s="383"/>
      <c r="BE16" s="416"/>
      <c r="BF16" s="219">
        <f t="shared" si="9"/>
        <v>3</v>
      </c>
      <c r="BG16" s="417" t="s">
        <v>295</v>
      </c>
      <c r="BI16" s="226">
        <v>132672.84419330524</v>
      </c>
      <c r="BJ16" s="226">
        <v>139195.59441203115</v>
      </c>
      <c r="BK16" s="226">
        <v>6522.7502187259088</v>
      </c>
      <c r="BL16" s="226">
        <v>139195.59441203115</v>
      </c>
      <c r="BM16" s="226">
        <v>0</v>
      </c>
      <c r="BN16" s="384">
        <v>3</v>
      </c>
      <c r="BO16" s="385" t="s">
        <v>174</v>
      </c>
      <c r="BP16" s="385"/>
      <c r="BQ16" s="432">
        <f>BQ14+BQ15</f>
        <v>36359530.788213</v>
      </c>
      <c r="BR16" s="432">
        <f>BR14+BR15</f>
        <v>36271067.331771001</v>
      </c>
      <c r="BS16" s="432">
        <f>BS14+BS15</f>
        <v>-88463.456441999879</v>
      </c>
      <c r="BT16" s="432">
        <f>BT14+BT15</f>
        <v>36359530.788213</v>
      </c>
      <c r="BU16" s="433">
        <f>BU14+BU15</f>
        <v>88463.456441999879</v>
      </c>
      <c r="BV16" s="219">
        <f t="shared" si="10"/>
        <v>3</v>
      </c>
      <c r="BW16" s="321" t="s">
        <v>300</v>
      </c>
      <c r="BX16" s="321"/>
      <c r="BY16" s="434">
        <f t="shared" ref="BY16:CC16" si="28">SUM(BY14:BY15)</f>
        <v>60814.661506623946</v>
      </c>
      <c r="BZ16" s="434">
        <f t="shared" si="28"/>
        <v>55965.26325353235</v>
      </c>
      <c r="CA16" s="434">
        <f t="shared" si="28"/>
        <v>-4849.3982530915964</v>
      </c>
      <c r="CB16" s="434">
        <f t="shared" si="28"/>
        <v>60814.661506623946</v>
      </c>
      <c r="CC16" s="434">
        <f t="shared" si="28"/>
        <v>4849.3982530915964</v>
      </c>
      <c r="CD16" s="387">
        <f t="shared" si="11"/>
        <v>3</v>
      </c>
      <c r="CE16" s="249" t="s">
        <v>80</v>
      </c>
      <c r="CG16" s="335">
        <f>-SUM(CG14:CG15)</f>
        <v>0</v>
      </c>
      <c r="CH16" s="335">
        <f t="shared" ref="CH16:CK16" si="29">-SUM(CH14:CH15)</f>
        <v>-204503.64267608413</v>
      </c>
      <c r="CI16" s="335">
        <f t="shared" si="29"/>
        <v>-204503.64267608413</v>
      </c>
      <c r="CJ16" s="335">
        <f t="shared" si="29"/>
        <v>-204503.64267608413</v>
      </c>
      <c r="CK16" s="335">
        <f t="shared" si="29"/>
        <v>0</v>
      </c>
      <c r="CL16" s="219">
        <f t="shared" si="12"/>
        <v>3</v>
      </c>
      <c r="CM16" s="337" t="s">
        <v>269</v>
      </c>
      <c r="CN16" s="337"/>
      <c r="CO16" s="435">
        <v>-6029.4623969999993</v>
      </c>
      <c r="CP16" s="435">
        <v>548500</v>
      </c>
      <c r="CQ16" s="435">
        <f>CP16-CO16</f>
        <v>554529.46239700005</v>
      </c>
      <c r="CR16" s="435">
        <f>CP16</f>
        <v>548500</v>
      </c>
      <c r="CS16" s="435">
        <f>CR16-CP16</f>
        <v>0</v>
      </c>
      <c r="CT16" s="248">
        <f>CT15+1</f>
        <v>3</v>
      </c>
      <c r="CU16" s="337"/>
      <c r="CV16" s="337"/>
      <c r="CW16" s="333"/>
      <c r="CX16" s="333"/>
      <c r="CY16" s="333"/>
      <c r="CZ16" s="333"/>
      <c r="DA16" s="333"/>
      <c r="DB16" s="387">
        <f t="shared" si="13"/>
        <v>3</v>
      </c>
      <c r="DC16" s="337" t="s">
        <v>86</v>
      </c>
      <c r="DD16" s="436"/>
      <c r="DE16" s="437">
        <f>SUM(DE14:DE15)</f>
        <v>1229850.6512926728</v>
      </c>
      <c r="DF16" s="437">
        <f>SUM(DF14:DF15)</f>
        <v>1296491.308964812</v>
      </c>
      <c r="DG16" s="437">
        <f>SUM(DG14:DG15)</f>
        <v>66640.65767213903</v>
      </c>
      <c r="DH16" s="437">
        <f>SUM(DH14:DH15)</f>
        <v>1327478.9299383876</v>
      </c>
      <c r="DI16" s="438">
        <f>SUM(DI14:DI15)</f>
        <v>30987.620973575831</v>
      </c>
      <c r="DJ16" s="219">
        <f t="shared" si="14"/>
        <v>3</v>
      </c>
      <c r="DK16" s="406" t="s">
        <v>295</v>
      </c>
      <c r="DL16" s="321"/>
      <c r="DM16" s="50">
        <v>1821447.3193938991</v>
      </c>
      <c r="DN16" s="439">
        <v>1823268.7667132928</v>
      </c>
      <c r="DO16" s="440">
        <f t="shared" si="15"/>
        <v>1821.4473193937447</v>
      </c>
      <c r="DP16" s="439">
        <v>1893099.960478412</v>
      </c>
      <c r="DQ16" s="439">
        <f t="shared" si="16"/>
        <v>69831.193765119184</v>
      </c>
      <c r="DR16" s="219">
        <f t="shared" si="17"/>
        <v>3</v>
      </c>
      <c r="DS16" s="5"/>
      <c r="DT16" s="441"/>
      <c r="DU16" s="49"/>
      <c r="DV16" s="49"/>
      <c r="DW16" s="386"/>
      <c r="DX16" s="49"/>
      <c r="DY16" s="49"/>
      <c r="DZ16" s="248">
        <v>3</v>
      </c>
      <c r="EA16" s="379" t="s">
        <v>153</v>
      </c>
      <c r="EB16" s="18"/>
      <c r="EC16" s="442">
        <v>4614715.3414345989</v>
      </c>
      <c r="ED16" s="442">
        <v>4657270.0677107992</v>
      </c>
      <c r="EE16" s="442">
        <f>ED16-EC16</f>
        <v>42554.726276200265</v>
      </c>
      <c r="EF16" s="442">
        <v>4928632.6259016003</v>
      </c>
      <c r="EG16" s="443">
        <f>EF16-ED16</f>
        <v>271362.55819080118</v>
      </c>
      <c r="EH16" s="248">
        <f t="shared" ref="EH16:EH20" si="30">EH15+1</f>
        <v>3</v>
      </c>
      <c r="EI16" s="249" t="s">
        <v>28</v>
      </c>
      <c r="EK16" s="1">
        <v>-604032300.68879509</v>
      </c>
      <c r="EL16" s="224">
        <v>-600273754.652915</v>
      </c>
      <c r="EM16" s="1">
        <f t="shared" si="18"/>
        <v>3758546.0358800888</v>
      </c>
      <c r="EN16" s="224">
        <f t="shared" si="19"/>
        <v>-600273754.652915</v>
      </c>
      <c r="EO16" s="1">
        <f t="shared" si="20"/>
        <v>0</v>
      </c>
      <c r="EP16" s="8">
        <f t="shared" ref="EP16:EP31" si="31">EP15+1</f>
        <v>3</v>
      </c>
      <c r="EQ16" s="249" t="s">
        <v>418</v>
      </c>
      <c r="ER16" s="8"/>
      <c r="ES16" s="224">
        <v>3292939.59</v>
      </c>
      <c r="ET16" s="224">
        <v>3442117.919999999</v>
      </c>
      <c r="EU16" s="224">
        <f t="shared" ref="EU16:EU17" si="32">ET16-ES16</f>
        <v>149178.32999999914</v>
      </c>
      <c r="EV16" s="224">
        <f t="shared" ref="EV16:EV17" si="33">ET16</f>
        <v>3442117.919999999</v>
      </c>
      <c r="EW16" s="224">
        <f t="shared" ref="EW16:EW17" si="34">EV16-ET16</f>
        <v>0</v>
      </c>
      <c r="EX16" s="219">
        <f t="shared" si="22"/>
        <v>3</v>
      </c>
      <c r="EY16" s="3"/>
      <c r="EZ16" s="3"/>
      <c r="FA16" s="193"/>
      <c r="FB16" s="193"/>
      <c r="FC16" s="193"/>
      <c r="FD16" s="193"/>
      <c r="FE16" s="193"/>
      <c r="FF16" s="248">
        <f t="shared" ref="FF16:FF19" si="35">FF15+1</f>
        <v>3</v>
      </c>
      <c r="FG16" s="26" t="s">
        <v>161</v>
      </c>
      <c r="FH16" s="444"/>
      <c r="FI16" s="445">
        <f>FI15</f>
        <v>8603273.5200000051</v>
      </c>
      <c r="FJ16" s="445">
        <f t="shared" ref="FJ16:FM16" si="36">FJ15</f>
        <v>8603273.5200000051</v>
      </c>
      <c r="FK16" s="445">
        <f t="shared" si="36"/>
        <v>0</v>
      </c>
      <c r="FL16" s="445">
        <f t="shared" si="36"/>
        <v>9460164.1915668994</v>
      </c>
      <c r="FM16" s="445">
        <f t="shared" si="36"/>
        <v>856890.67156689428</v>
      </c>
      <c r="FN16" s="248">
        <f t="shared" ref="FN16:FN33" si="37">FN15+1</f>
        <v>3</v>
      </c>
      <c r="FO16" s="446" t="s">
        <v>352</v>
      </c>
      <c r="FP16" s="446"/>
      <c r="FQ16" s="408"/>
      <c r="FR16" s="408"/>
      <c r="FS16" s="408">
        <v>0</v>
      </c>
      <c r="FT16" s="408">
        <v>29612613.959632117</v>
      </c>
      <c r="FU16" s="408">
        <f>+FT16-FS16</f>
        <v>29612613.959632117</v>
      </c>
      <c r="FV16" s="219">
        <v>3</v>
      </c>
      <c r="FW16" s="7" t="s">
        <v>416</v>
      </c>
      <c r="FX16" s="426"/>
      <c r="FY16" s="226">
        <v>133121.9008728</v>
      </c>
      <c r="FZ16" s="226">
        <v>0</v>
      </c>
      <c r="GA16" s="226">
        <f>FZ16-FY16</f>
        <v>-133121.9008728</v>
      </c>
      <c r="GB16" s="226">
        <v>0</v>
      </c>
      <c r="GC16" s="226">
        <f t="shared" ref="GC16:GC28" si="38">GB16-FZ16</f>
        <v>0</v>
      </c>
      <c r="GD16" s="402">
        <f t="shared" ref="GD16:GD38" si="39">+GD15+1</f>
        <v>3</v>
      </c>
      <c r="GE16" s="446" t="s">
        <v>375</v>
      </c>
      <c r="GF16" s="446"/>
      <c r="GG16" s="408">
        <v>0</v>
      </c>
      <c r="GH16" s="408">
        <v>0</v>
      </c>
      <c r="GI16" s="408">
        <v>0</v>
      </c>
      <c r="GJ16" s="408">
        <v>17042541.930183001</v>
      </c>
      <c r="GK16" s="408">
        <f t="shared" ref="GK16:GK24" si="40">+GJ16-GI16</f>
        <v>17042541.930183001</v>
      </c>
      <c r="GL16" s="8">
        <f t="shared" ref="GL16:GL20" si="41">GL15+1</f>
        <v>3</v>
      </c>
      <c r="GM16" s="249"/>
      <c r="GN16" s="3"/>
      <c r="GO16" s="193"/>
      <c r="GP16" s="193"/>
      <c r="GQ16" s="193"/>
      <c r="GR16" s="193"/>
      <c r="GS16" s="193"/>
      <c r="GT16" s="248">
        <v>3</v>
      </c>
      <c r="GU16" s="373" t="s">
        <v>32</v>
      </c>
      <c r="GV16" s="400"/>
      <c r="GW16" s="447">
        <f>SUM(GW15)</f>
        <v>-2890521.5106920004</v>
      </c>
      <c r="GX16" s="447">
        <f t="shared" ref="GX16:HA16" si="42">SUM(GX15)</f>
        <v>-2890521.5106920004</v>
      </c>
      <c r="GY16" s="447">
        <f t="shared" si="42"/>
        <v>0</v>
      </c>
      <c r="GZ16" s="447">
        <f t="shared" si="42"/>
        <v>-2529206.3218555013</v>
      </c>
      <c r="HA16" s="447">
        <f t="shared" si="42"/>
        <v>361315.18883649912</v>
      </c>
      <c r="HB16" s="219">
        <v>3</v>
      </c>
      <c r="HC16" s="427" t="s">
        <v>346</v>
      </c>
      <c r="HD16" s="3"/>
      <c r="HE16" s="1">
        <v>0</v>
      </c>
      <c r="HF16" s="1">
        <f>+HE16</f>
        <v>0</v>
      </c>
      <c r="HG16" s="1">
        <f t="shared" ref="HG16:HI17" si="43">HF16-HE16</f>
        <v>0</v>
      </c>
      <c r="HH16" s="1">
        <v>-250639.57850415158</v>
      </c>
      <c r="HI16" s="224">
        <f t="shared" si="43"/>
        <v>-250639.57850415158</v>
      </c>
      <c r="HJ16" s="8">
        <f t="shared" ref="HJ16:HJ22" si="44">HJ15+1</f>
        <v>3</v>
      </c>
      <c r="HK16" s="337" t="s">
        <v>8</v>
      </c>
      <c r="HL16" s="3"/>
      <c r="HM16" s="224">
        <v>16474238.73</v>
      </c>
      <c r="HN16" s="224">
        <v>16474238.73</v>
      </c>
      <c r="HO16" s="224">
        <f t="shared" si="23"/>
        <v>0</v>
      </c>
      <c r="HP16" s="224">
        <v>16752856.240000002</v>
      </c>
      <c r="HQ16" s="224">
        <f t="shared" si="24"/>
        <v>278617.51000000164</v>
      </c>
      <c r="HR16" s="219">
        <f t="shared" ref="HR16:HR30" si="45">HR15+1</f>
        <v>3</v>
      </c>
      <c r="HS16" s="249" t="s">
        <v>496</v>
      </c>
      <c r="HT16" s="3"/>
      <c r="HU16" s="225">
        <v>0</v>
      </c>
      <c r="HV16" s="225">
        <v>0</v>
      </c>
      <c r="HW16" s="225">
        <v>0</v>
      </c>
      <c r="HX16" s="225">
        <v>3668717.3996340004</v>
      </c>
      <c r="HY16" s="225">
        <v>3668717.3996340004</v>
      </c>
      <c r="HZ16" s="219">
        <f t="shared" ref="HZ16:HZ20" si="46">HZ15+1</f>
        <v>3</v>
      </c>
      <c r="IA16" s="403" t="s">
        <v>496</v>
      </c>
      <c r="IB16" s="404"/>
      <c r="IC16" s="428">
        <v>113323.24398580618</v>
      </c>
      <c r="ID16" s="448">
        <v>0</v>
      </c>
      <c r="IE16" s="448">
        <f>ID16-IC16</f>
        <v>-113323.24398580618</v>
      </c>
      <c r="IF16" s="448">
        <v>0</v>
      </c>
      <c r="IG16" s="448">
        <f>IF16-ID16</f>
        <v>0</v>
      </c>
    </row>
    <row r="17" spans="1:241" ht="15.6" thickTop="1" thickBot="1" x14ac:dyDescent="0.35">
      <c r="A17" s="370">
        <f t="shared" si="0"/>
        <v>4</v>
      </c>
      <c r="B17" s="405" t="s">
        <v>448</v>
      </c>
      <c r="C17" s="449"/>
      <c r="D17" s="672"/>
      <c r="E17" s="407"/>
      <c r="F17" s="333">
        <v>2929656.4452484697</v>
      </c>
      <c r="G17" s="672"/>
      <c r="H17" s="320">
        <v>0</v>
      </c>
      <c r="I17" s="219">
        <f t="shared" si="25"/>
        <v>4</v>
      </c>
      <c r="J17" s="409" t="s">
        <v>427</v>
      </c>
      <c r="K17" s="3"/>
      <c r="L17" s="47">
        <v>2.1475799395690727E-2</v>
      </c>
      <c r="M17" s="47">
        <f>N17</f>
        <v>2.1475799395690727E-2</v>
      </c>
      <c r="N17" s="47">
        <f>N19/N15</f>
        <v>2.1475799395690727E-2</v>
      </c>
      <c r="O17" s="47">
        <f>P17</f>
        <v>0.65005173867612154</v>
      </c>
      <c r="P17" s="47">
        <f>P19/P15</f>
        <v>0.65005173867612154</v>
      </c>
      <c r="Q17" s="248">
        <f t="shared" si="1"/>
        <v>4</v>
      </c>
      <c r="R17" s="337" t="s">
        <v>108</v>
      </c>
      <c r="S17" s="337"/>
      <c r="T17" s="450">
        <f t="shared" ref="T17:U17" si="47">-SUM(T14:T16)</f>
        <v>-22386028.289999995</v>
      </c>
      <c r="U17" s="450">
        <f t="shared" si="47"/>
        <v>-21169609.699304514</v>
      </c>
      <c r="V17" s="450">
        <f>-SUM(V14:V16)</f>
        <v>1216418.5906954836</v>
      </c>
      <c r="W17" s="450">
        <f t="shared" ref="W17:X17" si="48">-SUM(W14:W16)</f>
        <v>-21169609.699304514</v>
      </c>
      <c r="X17" s="450">
        <f t="shared" si="48"/>
        <v>0</v>
      </c>
      <c r="Y17" s="248">
        <f t="shared" si="3"/>
        <v>4</v>
      </c>
      <c r="Z17" s="373"/>
      <c r="AG17" s="370">
        <f t="shared" si="4"/>
        <v>5</v>
      </c>
      <c r="AH17" s="379" t="s">
        <v>256</v>
      </c>
      <c r="AI17" s="412"/>
      <c r="AJ17" s="320">
        <v>-24621258.285291649</v>
      </c>
      <c r="AK17" s="413">
        <v>0</v>
      </c>
      <c r="AL17" s="320">
        <f t="shared" si="5"/>
        <v>24621258.285291649</v>
      </c>
      <c r="AM17" s="413">
        <f t="shared" si="6"/>
        <v>0</v>
      </c>
      <c r="AN17" s="413">
        <f t="shared" si="7"/>
        <v>0</v>
      </c>
      <c r="AO17" s="248">
        <f t="shared" si="8"/>
        <v>4</v>
      </c>
      <c r="AP17" s="451"/>
      <c r="AQ17" s="451"/>
      <c r="AR17" s="452"/>
      <c r="AS17" s="452"/>
      <c r="AT17" s="452"/>
      <c r="AU17" s="452" t="s">
        <v>183</v>
      </c>
      <c r="AV17" s="320"/>
      <c r="AW17" s="8">
        <f t="shared" si="27"/>
        <v>4</v>
      </c>
      <c r="AX17" s="423" t="s">
        <v>168</v>
      </c>
      <c r="AY17" s="423"/>
      <c r="AZ17" s="453">
        <f>-AZ15</f>
        <v>-4333223.3545110002</v>
      </c>
      <c r="BA17" s="453">
        <f t="shared" ref="BA17:BD17" si="49">-BA15</f>
        <v>-4491993.9301330792</v>
      </c>
      <c r="BB17" s="453">
        <f t="shared" si="49"/>
        <v>-158770.57562207896</v>
      </c>
      <c r="BC17" s="453">
        <f t="shared" si="49"/>
        <v>-4491993.9301330792</v>
      </c>
      <c r="BD17" s="453">
        <f t="shared" si="49"/>
        <v>0</v>
      </c>
      <c r="BE17" s="416"/>
      <c r="BF17" s="219">
        <f t="shared" si="9"/>
        <v>4</v>
      </c>
      <c r="BG17" s="417" t="s">
        <v>296</v>
      </c>
      <c r="BI17" s="226">
        <v>106190.91876733195</v>
      </c>
      <c r="BJ17" s="226">
        <v>111578.2529830624</v>
      </c>
      <c r="BK17" s="226">
        <v>5387.3342157304432</v>
      </c>
      <c r="BL17" s="226">
        <v>111578.2529830624</v>
      </c>
      <c r="BM17" s="226">
        <v>0</v>
      </c>
      <c r="BN17" s="384">
        <v>4</v>
      </c>
      <c r="BO17" s="385"/>
      <c r="BP17" s="385"/>
      <c r="BQ17" s="224"/>
      <c r="BR17" s="224"/>
      <c r="BS17" s="454"/>
      <c r="BT17" s="224"/>
      <c r="BV17" s="219">
        <f t="shared" si="10"/>
        <v>4</v>
      </c>
      <c r="BW17" s="321"/>
      <c r="BX17" s="321"/>
      <c r="BY17" s="5"/>
      <c r="BZ17" s="5"/>
      <c r="CA17" s="5"/>
      <c r="CB17" s="5"/>
      <c r="CC17" s="5"/>
      <c r="CD17" s="387"/>
      <c r="CL17" s="219">
        <v>4</v>
      </c>
      <c r="CM17" s="337" t="s">
        <v>102</v>
      </c>
      <c r="CN17" s="337"/>
      <c r="CO17" s="454">
        <f>SUM(CO16)</f>
        <v>-6029.4623969999993</v>
      </c>
      <c r="CP17" s="454">
        <f t="shared" ref="CP17:CS17" si="50">SUM(CP16)</f>
        <v>548500</v>
      </c>
      <c r="CQ17" s="454">
        <f t="shared" si="50"/>
        <v>554529.46239700005</v>
      </c>
      <c r="CR17" s="454">
        <f t="shared" si="50"/>
        <v>548500</v>
      </c>
      <c r="CS17" s="454">
        <f t="shared" si="50"/>
        <v>0</v>
      </c>
      <c r="CT17" s="248">
        <f>CT16+1</f>
        <v>4</v>
      </c>
      <c r="CU17" s="249" t="s">
        <v>187</v>
      </c>
      <c r="CV17" s="249"/>
      <c r="CW17" s="433">
        <f>+CW15</f>
        <v>2033423.3546339665</v>
      </c>
      <c r="CX17" s="433">
        <f>+CX15</f>
        <v>3008677.465349237</v>
      </c>
      <c r="CY17" s="433">
        <f>CX17-CW17</f>
        <v>975254.11071527051</v>
      </c>
      <c r="CZ17" s="433">
        <f>CX17</f>
        <v>3008677.465349237</v>
      </c>
      <c r="DA17" s="433">
        <f>CZ17-CX17</f>
        <v>0</v>
      </c>
      <c r="DB17" s="387">
        <f t="shared" si="13"/>
        <v>4</v>
      </c>
      <c r="DC17" s="337"/>
      <c r="DD17" s="249"/>
      <c r="DE17" s="249"/>
      <c r="DF17" s="249"/>
      <c r="DG17" s="249"/>
      <c r="DH17" s="249"/>
      <c r="DI17" s="320"/>
      <c r="DJ17" s="219">
        <f t="shared" si="14"/>
        <v>4</v>
      </c>
      <c r="DK17" s="406" t="s">
        <v>296</v>
      </c>
      <c r="DL17" s="321"/>
      <c r="DM17" s="50">
        <v>1457876.2514683935</v>
      </c>
      <c r="DN17" s="50">
        <v>1461357.1134527726</v>
      </c>
      <c r="DO17" s="440">
        <f t="shared" si="15"/>
        <v>3480.8619843791239</v>
      </c>
      <c r="DP17" s="50">
        <v>1497997.8793014847</v>
      </c>
      <c r="DQ17" s="50">
        <f t="shared" si="16"/>
        <v>36640.765848712064</v>
      </c>
      <c r="DR17" s="219">
        <f t="shared" si="17"/>
        <v>4</v>
      </c>
      <c r="DS17" s="392" t="s">
        <v>148</v>
      </c>
      <c r="DT17" s="455"/>
      <c r="DU17" s="3"/>
      <c r="DV17" s="3"/>
      <c r="DW17" s="3"/>
      <c r="DX17" s="3"/>
      <c r="DY17" s="3"/>
      <c r="DZ17" s="248">
        <v>4</v>
      </c>
      <c r="EA17" s="456" t="s">
        <v>288</v>
      </c>
      <c r="EB17" s="18"/>
      <c r="EC17" s="1">
        <f>SUM(EC15:EC16)</f>
        <v>13470629.306955997</v>
      </c>
      <c r="ED17" s="1">
        <f t="shared" ref="ED17:EF17" si="51">SUM(ED15:ED16)</f>
        <v>13497581.079287998</v>
      </c>
      <c r="EE17" s="1">
        <f t="shared" si="51"/>
        <v>26951.772331999615</v>
      </c>
      <c r="EF17" s="1">
        <f t="shared" si="51"/>
        <v>14278718.681976002</v>
      </c>
      <c r="EG17" s="333">
        <f>SUM(EG15:EG16)</f>
        <v>781137.60268800426</v>
      </c>
      <c r="EH17" s="248">
        <f t="shared" si="30"/>
        <v>4</v>
      </c>
      <c r="EI17" s="249" t="s">
        <v>29</v>
      </c>
      <c r="EK17" s="1">
        <v>-29952462.162250079</v>
      </c>
      <c r="EL17" s="224">
        <v>-26993656.705525</v>
      </c>
      <c r="EM17" s="1">
        <f t="shared" si="18"/>
        <v>2958805.4567250796</v>
      </c>
      <c r="EN17" s="224">
        <f t="shared" si="19"/>
        <v>-26993656.705525</v>
      </c>
      <c r="EO17" s="1">
        <f t="shared" si="20"/>
        <v>0</v>
      </c>
      <c r="EP17" s="8">
        <f t="shared" si="31"/>
        <v>4</v>
      </c>
      <c r="EQ17" s="337" t="s">
        <v>419</v>
      </c>
      <c r="ER17" s="8"/>
      <c r="ES17" s="224">
        <v>22665497.230383031</v>
      </c>
      <c r="ET17" s="224">
        <v>30696938.992545016</v>
      </c>
      <c r="EU17" s="224">
        <f t="shared" si="32"/>
        <v>8031441.762161985</v>
      </c>
      <c r="EV17" s="224">
        <f t="shared" si="33"/>
        <v>30696938.992545016</v>
      </c>
      <c r="EW17" s="224">
        <f t="shared" si="34"/>
        <v>0</v>
      </c>
      <c r="EX17" s="219">
        <f t="shared" si="22"/>
        <v>4</v>
      </c>
      <c r="EY17" s="456" t="s">
        <v>243</v>
      </c>
      <c r="EZ17" s="456"/>
      <c r="FA17" s="224">
        <f t="shared" ref="FA17:FD17" si="52">FA15</f>
        <v>116306.4</v>
      </c>
      <c r="FB17" s="224">
        <f t="shared" si="52"/>
        <v>116306.4</v>
      </c>
      <c r="FC17" s="224">
        <f t="shared" si="52"/>
        <v>0</v>
      </c>
      <c r="FD17" s="224">
        <f t="shared" si="52"/>
        <v>24348.123333333362</v>
      </c>
      <c r="FE17" s="224">
        <f>FE15</f>
        <v>-91958.276666666628</v>
      </c>
      <c r="FF17" s="248">
        <f t="shared" si="35"/>
        <v>4</v>
      </c>
      <c r="FH17" s="373"/>
      <c r="FI17" s="373"/>
      <c r="FJ17" s="373"/>
      <c r="FK17" s="320"/>
      <c r="FL17" s="320"/>
      <c r="FM17" s="333"/>
      <c r="FN17" s="248">
        <f t="shared" si="37"/>
        <v>4</v>
      </c>
      <c r="FO17" s="446" t="s">
        <v>353</v>
      </c>
      <c r="FP17" s="446"/>
      <c r="FQ17" s="333"/>
      <c r="FR17" s="333"/>
      <c r="FS17" s="333">
        <v>0</v>
      </c>
      <c r="FT17" s="333">
        <v>-2033181.2664264913</v>
      </c>
      <c r="FU17" s="333">
        <f>+FT17-FS17</f>
        <v>-2033181.2664264913</v>
      </c>
      <c r="FV17" s="219">
        <v>4</v>
      </c>
      <c r="FW17" s="7" t="s">
        <v>417</v>
      </c>
      <c r="FX17" s="426"/>
      <c r="FY17" s="226">
        <v>0</v>
      </c>
      <c r="FZ17" s="226">
        <v>0</v>
      </c>
      <c r="GA17" s="226">
        <f>FZ17-FY17</f>
        <v>0</v>
      </c>
      <c r="GB17" s="226">
        <v>0</v>
      </c>
      <c r="GC17" s="226">
        <f t="shared" si="38"/>
        <v>0</v>
      </c>
      <c r="GD17" s="402">
        <f>+GD16+1</f>
        <v>4</v>
      </c>
      <c r="GE17" s="446" t="s">
        <v>376</v>
      </c>
      <c r="GF17" s="446"/>
      <c r="GG17" s="333">
        <v>0</v>
      </c>
      <c r="GH17" s="333">
        <v>0</v>
      </c>
      <c r="GI17" s="333">
        <v>0</v>
      </c>
      <c r="GJ17" s="333">
        <v>-6021196.191745243</v>
      </c>
      <c r="GK17" s="333">
        <f t="shared" si="40"/>
        <v>-6021196.191745243</v>
      </c>
      <c r="GL17" s="8">
        <f t="shared" si="41"/>
        <v>4</v>
      </c>
      <c r="GM17" s="249" t="s">
        <v>243</v>
      </c>
      <c r="GN17" s="3"/>
      <c r="GO17" s="224">
        <f>GO15</f>
        <v>597372</v>
      </c>
      <c r="GP17" s="224">
        <f t="shared" ref="GP17:GS17" si="53">GP15</f>
        <v>597372</v>
      </c>
      <c r="GQ17" s="224">
        <f t="shared" si="53"/>
        <v>0</v>
      </c>
      <c r="GR17" s="224">
        <f t="shared" si="53"/>
        <v>161804.418725</v>
      </c>
      <c r="GS17" s="224">
        <f t="shared" si="53"/>
        <v>-435567.581275</v>
      </c>
      <c r="GT17" s="248">
        <v>4</v>
      </c>
      <c r="GU17" s="373"/>
      <c r="GV17" s="400"/>
      <c r="GW17" s="457"/>
      <c r="GX17" s="457"/>
      <c r="GY17" s="457"/>
      <c r="GZ17" s="457"/>
      <c r="HA17" s="457"/>
      <c r="HB17" s="219">
        <v>4</v>
      </c>
      <c r="HC17" s="458" t="s">
        <v>347</v>
      </c>
      <c r="HD17" s="3"/>
      <c r="HE17" s="1">
        <v>0</v>
      </c>
      <c r="HF17" s="1">
        <f>+HE17</f>
        <v>0</v>
      </c>
      <c r="HG17" s="1">
        <f t="shared" si="43"/>
        <v>0</v>
      </c>
      <c r="HH17" s="1">
        <v>-77023.80804395421</v>
      </c>
      <c r="HI17" s="224">
        <f t="shared" si="43"/>
        <v>-77023.80804395421</v>
      </c>
      <c r="HJ17" s="8">
        <f t="shared" si="44"/>
        <v>4</v>
      </c>
      <c r="HK17" s="337" t="s">
        <v>9</v>
      </c>
      <c r="HL17" s="3"/>
      <c r="HM17" s="1">
        <v>7112059.2000000002</v>
      </c>
      <c r="HN17" s="1">
        <v>7112059.2000000002</v>
      </c>
      <c r="HO17" s="1">
        <f t="shared" si="23"/>
        <v>0</v>
      </c>
      <c r="HP17" s="1">
        <v>7217317.6799999997</v>
      </c>
      <c r="HQ17" s="1">
        <f t="shared" si="24"/>
        <v>105258.47999999952</v>
      </c>
      <c r="HR17" s="219">
        <f t="shared" si="45"/>
        <v>4</v>
      </c>
      <c r="HS17" s="249" t="s">
        <v>490</v>
      </c>
      <c r="HT17" s="3"/>
      <c r="HU17" s="1">
        <v>0</v>
      </c>
      <c r="HV17" s="1">
        <v>0</v>
      </c>
      <c r="HW17" s="1">
        <v>0</v>
      </c>
      <c r="HX17" s="1">
        <v>-504283.96518150007</v>
      </c>
      <c r="HY17" s="1">
        <v>-504283.96518150007</v>
      </c>
      <c r="HZ17" s="219">
        <f t="shared" si="46"/>
        <v>4</v>
      </c>
      <c r="IA17" s="403" t="s">
        <v>491</v>
      </c>
      <c r="IB17" s="404"/>
      <c r="IC17" s="459">
        <v>-7931.7188669224333</v>
      </c>
      <c r="ID17" s="448">
        <v>0</v>
      </c>
      <c r="IE17" s="448">
        <f t="shared" ref="IE17" si="54">ID17-IC17</f>
        <v>7931.7188669224333</v>
      </c>
      <c r="IF17" s="448">
        <v>0</v>
      </c>
      <c r="IG17" s="448">
        <f t="shared" ref="IG17" si="55">IF17-ID17</f>
        <v>0</v>
      </c>
    </row>
    <row r="18" spans="1:241" ht="15.6" thickTop="1" thickBot="1" x14ac:dyDescent="0.35">
      <c r="A18" s="370">
        <f t="shared" si="0"/>
        <v>5</v>
      </c>
      <c r="B18" s="405" t="s">
        <v>451</v>
      </c>
      <c r="C18" s="449"/>
      <c r="D18" s="672"/>
      <c r="E18" s="407"/>
      <c r="F18" s="429">
        <v>-11344068.669140538</v>
      </c>
      <c r="G18" s="672"/>
      <c r="H18" s="320">
        <v>0</v>
      </c>
      <c r="I18" s="219">
        <f t="shared" si="25"/>
        <v>5</v>
      </c>
      <c r="J18" s="460"/>
      <c r="K18" s="3"/>
      <c r="L18" s="3"/>
      <c r="M18" s="3"/>
      <c r="N18" s="3"/>
      <c r="O18" s="3"/>
      <c r="P18" s="3"/>
      <c r="Q18" s="25"/>
      <c r="R18" s="25"/>
      <c r="S18" s="25"/>
      <c r="T18" s="25"/>
      <c r="U18" s="25"/>
      <c r="V18" s="25"/>
      <c r="W18" s="25"/>
      <c r="X18" s="25"/>
      <c r="Y18" s="248">
        <f t="shared" si="3"/>
        <v>5</v>
      </c>
      <c r="Z18" s="369" t="s">
        <v>111</v>
      </c>
      <c r="AB18" s="32"/>
      <c r="AC18" s="24">
        <f>+'COC-Restating'!E11</f>
        <v>2.9399999999999999E-2</v>
      </c>
      <c r="AD18" s="24"/>
      <c r="AE18" s="24">
        <f>+'COC, Def, ConvF'!H12</f>
        <v>2.8299999999999999E-2</v>
      </c>
      <c r="AF18" s="24"/>
      <c r="AG18" s="370">
        <f t="shared" si="4"/>
        <v>6</v>
      </c>
      <c r="AH18" s="379" t="s">
        <v>257</v>
      </c>
      <c r="AI18" s="412"/>
      <c r="AJ18" s="333">
        <v>154860.41999999998</v>
      </c>
      <c r="AK18" s="413">
        <v>0</v>
      </c>
      <c r="AL18" s="333">
        <f t="shared" si="5"/>
        <v>-154860.41999999998</v>
      </c>
      <c r="AM18" s="413">
        <f t="shared" si="6"/>
        <v>0</v>
      </c>
      <c r="AN18" s="413">
        <f t="shared" si="7"/>
        <v>0</v>
      </c>
      <c r="AO18" s="248">
        <f t="shared" si="8"/>
        <v>5</v>
      </c>
      <c r="AP18" s="225" t="s">
        <v>119</v>
      </c>
      <c r="AQ18" s="225"/>
      <c r="AR18" s="225">
        <f>+AR16</f>
        <v>-465463.01181622047</v>
      </c>
      <c r="AS18" s="225">
        <f t="shared" ref="AS18:AV18" si="56">+AS16</f>
        <v>1124814.3630365257</v>
      </c>
      <c r="AT18" s="225">
        <f t="shared" si="56"/>
        <v>1590277.3748527463</v>
      </c>
      <c r="AU18" s="225">
        <f t="shared" si="56"/>
        <v>1124814.3630365257</v>
      </c>
      <c r="AV18" s="225">
        <f t="shared" si="56"/>
        <v>0</v>
      </c>
      <c r="AW18" s="8">
        <f t="shared" si="27"/>
        <v>5</v>
      </c>
      <c r="AX18" s="461" t="s">
        <v>84</v>
      </c>
      <c r="AY18" s="462">
        <f>+FIT_GAS</f>
        <v>0.21</v>
      </c>
      <c r="AZ18" s="226">
        <f>+AZ17*$AY$18</f>
        <v>-909976.90444731002</v>
      </c>
      <c r="BA18" s="226">
        <f>+BA17*$AY$18</f>
        <v>-943318.72532794659</v>
      </c>
      <c r="BB18" s="226">
        <f>BA18-AZ18</f>
        <v>-33341.820880636573</v>
      </c>
      <c r="BC18" s="226">
        <f>BA18</f>
        <v>-943318.72532794659</v>
      </c>
      <c r="BD18" s="226">
        <f>BC18-BA18</f>
        <v>0</v>
      </c>
      <c r="BE18" s="463"/>
      <c r="BF18" s="219">
        <f t="shared" si="9"/>
        <v>5</v>
      </c>
      <c r="BG18" s="417" t="s">
        <v>124</v>
      </c>
      <c r="BI18" s="226">
        <v>0</v>
      </c>
      <c r="BJ18" s="226">
        <v>0</v>
      </c>
      <c r="BK18" s="226">
        <v>0</v>
      </c>
      <c r="BL18" s="226">
        <v>0</v>
      </c>
      <c r="BM18" s="226">
        <v>0</v>
      </c>
      <c r="BN18" s="384">
        <v>5</v>
      </c>
      <c r="BO18" s="319" t="s">
        <v>175</v>
      </c>
      <c r="BP18" s="319"/>
      <c r="BQ18" s="333">
        <f t="shared" ref="BQ18" si="57">BQ16</f>
        <v>36359530.788213</v>
      </c>
      <c r="BR18" s="333">
        <f t="shared" ref="BR18:BT18" si="58">BR16</f>
        <v>36271067.331771001</v>
      </c>
      <c r="BS18" s="418">
        <f t="shared" ref="BS18:BS19" si="59">BR18-BQ18</f>
        <v>-88463.456441998482</v>
      </c>
      <c r="BT18" s="333">
        <f t="shared" si="58"/>
        <v>36359530.788213</v>
      </c>
      <c r="BU18" s="333">
        <f>BU16</f>
        <v>88463.456441999879</v>
      </c>
      <c r="BV18" s="219">
        <f t="shared" si="10"/>
        <v>5</v>
      </c>
      <c r="BW18" s="321" t="s">
        <v>301</v>
      </c>
      <c r="BX18" s="321"/>
      <c r="BY18" s="49">
        <f>+BY16</f>
        <v>60814.661506623946</v>
      </c>
      <c r="BZ18" s="49">
        <f>+BZ16</f>
        <v>55965.26325353235</v>
      </c>
      <c r="CA18" s="49">
        <f>+CA16</f>
        <v>-4849.3982530915964</v>
      </c>
      <c r="CB18" s="49">
        <f>+CB16</f>
        <v>60814.661506623946</v>
      </c>
      <c r="CC18" s="49">
        <f>+CC16</f>
        <v>4849.3982530915964</v>
      </c>
      <c r="CL18" s="219">
        <f t="shared" si="12"/>
        <v>5</v>
      </c>
      <c r="CM18" s="337"/>
      <c r="CN18" s="337"/>
      <c r="CT18" s="248">
        <f>CT17+1</f>
        <v>5</v>
      </c>
      <c r="CU18" s="337" t="s">
        <v>481</v>
      </c>
      <c r="CV18" s="464">
        <f>FIT_GAS</f>
        <v>0.21</v>
      </c>
      <c r="CW18" s="421">
        <f>-$CV$18*CW17</f>
        <v>-427018.90447313292</v>
      </c>
      <c r="CX18" s="421">
        <f>-$CV$18*CX17</f>
        <v>-631822.26772333973</v>
      </c>
      <c r="CY18" s="421">
        <f>CX18-CW18</f>
        <v>-204803.36325020681</v>
      </c>
      <c r="CZ18" s="421">
        <f>CX18</f>
        <v>-631822.26772333973</v>
      </c>
      <c r="DA18" s="421">
        <f>CZ18-CX18</f>
        <v>0</v>
      </c>
      <c r="DB18" s="387">
        <f t="shared" si="13"/>
        <v>5</v>
      </c>
      <c r="DC18" s="337" t="s">
        <v>97</v>
      </c>
      <c r="DD18" s="464">
        <f>FIT_GAS</f>
        <v>0.21</v>
      </c>
      <c r="DE18" s="465">
        <f>-DE16*$DD$18</f>
        <v>-258268.63677146129</v>
      </c>
      <c r="DF18" s="465">
        <f t="shared" ref="DF18:DI18" si="60">-DF16*$DD$18</f>
        <v>-272263.1748826105</v>
      </c>
      <c r="DG18" s="465">
        <f t="shared" si="60"/>
        <v>-13994.538111149195</v>
      </c>
      <c r="DH18" s="465">
        <f t="shared" si="60"/>
        <v>-278770.57528706139</v>
      </c>
      <c r="DI18" s="465">
        <f t="shared" si="60"/>
        <v>-6507.4004044509247</v>
      </c>
      <c r="DJ18" s="219">
        <f t="shared" si="14"/>
        <v>5</v>
      </c>
      <c r="DK18" s="406" t="s">
        <v>124</v>
      </c>
      <c r="DL18" s="321"/>
      <c r="DM18" s="50">
        <v>0</v>
      </c>
      <c r="DN18" s="50">
        <v>0</v>
      </c>
      <c r="DO18" s="440">
        <f t="shared" si="15"/>
        <v>0</v>
      </c>
      <c r="DP18" s="50">
        <v>0</v>
      </c>
      <c r="DQ18" s="50">
        <f t="shared" si="16"/>
        <v>0</v>
      </c>
      <c r="DR18" s="219">
        <f t="shared" si="17"/>
        <v>5</v>
      </c>
      <c r="DS18" s="319" t="s">
        <v>149</v>
      </c>
      <c r="DT18" s="219"/>
      <c r="DU18" s="46">
        <v>1462408.4927999999</v>
      </c>
      <c r="DV18" s="46">
        <v>1462408.4927999999</v>
      </c>
      <c r="DW18" s="46">
        <f>+DV18-DU18</f>
        <v>0</v>
      </c>
      <c r="DX18" s="46">
        <v>1506280.747584</v>
      </c>
      <c r="DY18" s="46">
        <f>+DX18-DV18</f>
        <v>43872.254784000106</v>
      </c>
      <c r="DZ18" s="248">
        <v>5</v>
      </c>
      <c r="EA18" s="379"/>
      <c r="EG18" s="320"/>
      <c r="EH18" s="248">
        <f t="shared" si="30"/>
        <v>5</v>
      </c>
      <c r="EI18" s="249" t="s">
        <v>30</v>
      </c>
      <c r="EK18" s="1">
        <v>54431800.053166389</v>
      </c>
      <c r="EL18" s="224">
        <v>53555825.759281471</v>
      </c>
      <c r="EM18" s="466">
        <f t="shared" si="18"/>
        <v>-875974.29388491809</v>
      </c>
      <c r="EN18" s="467">
        <f t="shared" si="19"/>
        <v>53555825.759281471</v>
      </c>
      <c r="EO18" s="1">
        <f t="shared" si="20"/>
        <v>0</v>
      </c>
      <c r="EP18" s="8">
        <f t="shared" si="31"/>
        <v>5</v>
      </c>
      <c r="EQ18" s="337" t="s">
        <v>284</v>
      </c>
      <c r="ER18" s="8"/>
      <c r="ES18" s="227">
        <f t="shared" ref="ES18" si="61">SUM(ES14:ES17)</f>
        <v>142765596.42224306</v>
      </c>
      <c r="ET18" s="227">
        <f>SUM(ET14:ET17)</f>
        <v>155077843.15997979</v>
      </c>
      <c r="EU18" s="227">
        <f>SUM(EU14:EU17)</f>
        <v>12312246.737736724</v>
      </c>
      <c r="EV18" s="227">
        <f>SUM(EV14:EV17)</f>
        <v>155077843.15997979</v>
      </c>
      <c r="EW18" s="227">
        <f>SUM(EW14:EW17)</f>
        <v>0</v>
      </c>
      <c r="EX18" s="219">
        <f t="shared" si="22"/>
        <v>5</v>
      </c>
      <c r="EY18" s="3"/>
      <c r="EZ18" s="3"/>
      <c r="FA18" s="3"/>
      <c r="FB18" s="3"/>
      <c r="FC18" s="3"/>
      <c r="FD18" s="3"/>
      <c r="FE18" s="3"/>
      <c r="FF18" s="248">
        <f t="shared" si="35"/>
        <v>5</v>
      </c>
      <c r="FG18" s="26" t="s">
        <v>305</v>
      </c>
      <c r="FH18" s="464">
        <f>FIT_GAS</f>
        <v>0.21</v>
      </c>
      <c r="FI18" s="336">
        <f>-FI16*$FH$18</f>
        <v>-1806687.4392000011</v>
      </c>
      <c r="FJ18" s="336">
        <f>-FJ16*$FH$18</f>
        <v>-1806687.4392000011</v>
      </c>
      <c r="FK18" s="336">
        <f>-FK16*$FH$18</f>
        <v>0</v>
      </c>
      <c r="FL18" s="336">
        <f>-FL16*$FH$18</f>
        <v>-1986634.4802290488</v>
      </c>
      <c r="FM18" s="336">
        <f>-FM16*$FH$18</f>
        <v>-179947.0410290478</v>
      </c>
      <c r="FN18" s="248">
        <f t="shared" si="37"/>
        <v>5</v>
      </c>
      <c r="FO18" s="446" t="s">
        <v>354</v>
      </c>
      <c r="FP18" s="446"/>
      <c r="FQ18" s="333"/>
      <c r="FR18" s="333"/>
      <c r="FS18" s="333">
        <v>0</v>
      </c>
      <c r="FT18" s="333">
        <v>-4272160.3806354366</v>
      </c>
      <c r="FU18" s="333">
        <f>+FT18-FS18</f>
        <v>-4272160.3806354366</v>
      </c>
      <c r="FV18" s="219">
        <v>5</v>
      </c>
      <c r="FW18" s="7" t="s">
        <v>339</v>
      </c>
      <c r="FX18" s="426"/>
      <c r="FY18" s="226">
        <v>1567215.6078579</v>
      </c>
      <c r="FZ18" s="226">
        <v>1567215.6078579</v>
      </c>
      <c r="GA18" s="226">
        <f t="shared" ref="GA18:GA22" si="62">FZ18-FY18</f>
        <v>0</v>
      </c>
      <c r="GB18" s="226">
        <v>1505385.8006040002</v>
      </c>
      <c r="GC18" s="226">
        <f t="shared" si="38"/>
        <v>-61829.807253899751</v>
      </c>
      <c r="GD18" s="402">
        <f t="shared" si="39"/>
        <v>5</v>
      </c>
      <c r="GE18" s="446" t="s">
        <v>377</v>
      </c>
      <c r="GF18" s="446"/>
      <c r="GG18" s="333">
        <v>0</v>
      </c>
      <c r="GH18" s="333">
        <v>0</v>
      </c>
      <c r="GI18" s="333">
        <v>0</v>
      </c>
      <c r="GJ18" s="333">
        <v>-265793.23975042015</v>
      </c>
      <c r="GK18" s="333">
        <f t="shared" si="40"/>
        <v>-265793.23975042015</v>
      </c>
      <c r="GL18" s="8">
        <f t="shared" si="41"/>
        <v>5</v>
      </c>
      <c r="GM18" s="249"/>
      <c r="GN18" s="3"/>
      <c r="GO18" s="1"/>
      <c r="GP18" s="1"/>
      <c r="GQ18" s="1"/>
      <c r="GR18" s="1"/>
      <c r="GS18" s="1"/>
      <c r="GT18" s="248">
        <v>5</v>
      </c>
      <c r="GU18" s="376" t="s">
        <v>370</v>
      </c>
      <c r="GV18" s="400"/>
      <c r="GW18" s="457"/>
      <c r="GX18" s="457"/>
      <c r="GY18" s="457"/>
      <c r="GZ18" s="457"/>
      <c r="HA18" s="457"/>
      <c r="HB18" s="219">
        <v>5</v>
      </c>
      <c r="HC18" s="379" t="s">
        <v>348</v>
      </c>
      <c r="HD18" s="3"/>
      <c r="HE18" s="468">
        <f t="shared" ref="HE18:HG18" si="63">SUM(HE15:HE17)</f>
        <v>0</v>
      </c>
      <c r="HF18" s="468">
        <f t="shared" si="63"/>
        <v>0</v>
      </c>
      <c r="HG18" s="468">
        <f t="shared" si="63"/>
        <v>0</v>
      </c>
      <c r="HH18" s="468">
        <f>SUM(HH15:HH17)</f>
        <v>17461761.383451898</v>
      </c>
      <c r="HI18" s="468">
        <f>SUM(HI15:HI17)</f>
        <v>17461761.383451898</v>
      </c>
      <c r="HJ18" s="8">
        <f t="shared" si="44"/>
        <v>5</v>
      </c>
      <c r="HK18" s="337" t="s">
        <v>12</v>
      </c>
      <c r="HL18" s="3"/>
      <c r="HM18" s="228">
        <v>19366.041045000002</v>
      </c>
      <c r="HN18" s="228">
        <v>19366.041045000002</v>
      </c>
      <c r="HO18" s="228">
        <f t="shared" si="23"/>
        <v>0</v>
      </c>
      <c r="HP18" s="228">
        <v>19966.917678000002</v>
      </c>
      <c r="HQ18" s="228">
        <f t="shared" si="24"/>
        <v>600.87663299999986</v>
      </c>
      <c r="HR18" s="219">
        <f t="shared" si="45"/>
        <v>5</v>
      </c>
      <c r="HS18" s="249" t="s">
        <v>491</v>
      </c>
      <c r="HT18" s="3"/>
      <c r="HU18" s="1">
        <v>0</v>
      </c>
      <c r="HV18" s="1">
        <v>0</v>
      </c>
      <c r="HW18" s="1">
        <v>0</v>
      </c>
      <c r="HX18" s="1">
        <v>-202619.41460202174</v>
      </c>
      <c r="HY18" s="1">
        <v>-202619.41460202174</v>
      </c>
      <c r="HZ18" s="219">
        <f t="shared" si="46"/>
        <v>5</v>
      </c>
      <c r="IA18" s="403" t="s">
        <v>378</v>
      </c>
      <c r="IB18" s="469"/>
      <c r="IC18" s="470">
        <f>SUM(IC16:IC17)</f>
        <v>105391.52511888376</v>
      </c>
      <c r="ID18" s="471">
        <f>SUM(ID16:ID17)</f>
        <v>0</v>
      </c>
      <c r="IE18" s="471">
        <f>SUM(IE16:IE17)</f>
        <v>-105391.52511888376</v>
      </c>
      <c r="IF18" s="471">
        <f>SUM(IF16:IF17)</f>
        <v>0</v>
      </c>
      <c r="IG18" s="471">
        <f>SUM(IG16:IG17)</f>
        <v>0</v>
      </c>
    </row>
    <row r="19" spans="1:241" ht="15.6" thickTop="1" thickBot="1" x14ac:dyDescent="0.35">
      <c r="A19" s="370">
        <f t="shared" si="0"/>
        <v>6</v>
      </c>
      <c r="B19" s="405" t="s">
        <v>388</v>
      </c>
      <c r="C19" s="28"/>
      <c r="D19" s="673"/>
      <c r="E19" s="472"/>
      <c r="F19" s="429">
        <v>2693840.9750884986</v>
      </c>
      <c r="G19" s="673"/>
      <c r="H19" s="320">
        <v>0</v>
      </c>
      <c r="I19" s="219">
        <f t="shared" si="25"/>
        <v>6</v>
      </c>
      <c r="J19" s="409" t="s">
        <v>454</v>
      </c>
      <c r="K19" s="3"/>
      <c r="L19" s="48">
        <f>L15*L17</f>
        <v>5335641.3639581781</v>
      </c>
      <c r="M19" s="48">
        <f>M15*M17</f>
        <v>5407446.7130078496</v>
      </c>
      <c r="N19" s="48">
        <v>71805.349049671087</v>
      </c>
      <c r="O19" s="48">
        <v>37923669.609114125</v>
      </c>
      <c r="P19" s="48">
        <f>O19-M19</f>
        <v>32516222.896106277</v>
      </c>
      <c r="Q19" s="25"/>
      <c r="R19" s="25"/>
      <c r="S19" s="25"/>
      <c r="T19" s="25"/>
      <c r="U19" s="25"/>
      <c r="V19" s="25"/>
      <c r="W19" s="25"/>
      <c r="X19" s="25"/>
      <c r="Y19" s="248">
        <f t="shared" si="3"/>
        <v>6</v>
      </c>
      <c r="Z19" s="369" t="s">
        <v>112</v>
      </c>
      <c r="AB19" s="51">
        <v>0</v>
      </c>
      <c r="AC19" s="258">
        <f>+AC14*AC18</f>
        <v>61506979.494268447</v>
      </c>
      <c r="AD19" s="258">
        <f>+AC19-AB19</f>
        <v>61506979.494268447</v>
      </c>
      <c r="AE19" s="266">
        <f>+AE14*AE18</f>
        <v>60636958.931554154</v>
      </c>
      <c r="AF19" s="473">
        <f>+AE19-AD19</f>
        <v>-870020.5627142936</v>
      </c>
      <c r="AG19" s="370">
        <f t="shared" si="4"/>
        <v>7</v>
      </c>
      <c r="AH19" s="379" t="s">
        <v>258</v>
      </c>
      <c r="AI19" s="412"/>
      <c r="AJ19" s="333">
        <v>-52671.83</v>
      </c>
      <c r="AK19" s="413">
        <v>0</v>
      </c>
      <c r="AL19" s="333">
        <f t="shared" si="5"/>
        <v>52671.83</v>
      </c>
      <c r="AM19" s="413">
        <f t="shared" si="6"/>
        <v>0</v>
      </c>
      <c r="AN19" s="413">
        <f t="shared" si="7"/>
        <v>0</v>
      </c>
      <c r="AO19" s="248">
        <f t="shared" si="8"/>
        <v>6</v>
      </c>
      <c r="AP19" s="249" t="s">
        <v>97</v>
      </c>
      <c r="AQ19" s="462">
        <f>+FIT_GAS</f>
        <v>0.21</v>
      </c>
      <c r="AR19" s="230">
        <f>-$AQ$19*AR18</f>
        <v>97747.232481406303</v>
      </c>
      <c r="AS19" s="230">
        <f t="shared" ref="AS19:AV19" si="64">-$AQ$19*AS18</f>
        <v>-236211.01623767038</v>
      </c>
      <c r="AT19" s="230">
        <f t="shared" si="64"/>
        <v>-333958.24871907668</v>
      </c>
      <c r="AU19" s="230">
        <f t="shared" si="64"/>
        <v>-236211.01623767038</v>
      </c>
      <c r="AV19" s="230">
        <f t="shared" si="64"/>
        <v>0</v>
      </c>
      <c r="AW19" s="8">
        <f t="shared" si="27"/>
        <v>6</v>
      </c>
      <c r="AX19" s="461" t="s">
        <v>80</v>
      </c>
      <c r="AY19" s="461"/>
      <c r="AZ19" s="474">
        <f t="shared" ref="AZ19:BD19" si="65">AZ17-AZ18</f>
        <v>-3423246.4500636901</v>
      </c>
      <c r="BA19" s="474">
        <f t="shared" si="65"/>
        <v>-3548675.2048051325</v>
      </c>
      <c r="BB19" s="474">
        <f t="shared" si="65"/>
        <v>-125428.75474144239</v>
      </c>
      <c r="BC19" s="474">
        <f t="shared" si="65"/>
        <v>-3548675.2048051325</v>
      </c>
      <c r="BD19" s="474">
        <f t="shared" si="65"/>
        <v>0</v>
      </c>
      <c r="BE19" s="475">
        <v>5.1240000000000001E-3</v>
      </c>
      <c r="BF19" s="219">
        <f t="shared" si="9"/>
        <v>6</v>
      </c>
      <c r="BG19" s="417" t="s">
        <v>125</v>
      </c>
      <c r="BI19" s="226">
        <v>1865743.5814950194</v>
      </c>
      <c r="BJ19" s="226">
        <v>1986577.5876422047</v>
      </c>
      <c r="BK19" s="226">
        <v>120834.00614718534</v>
      </c>
      <c r="BL19" s="226">
        <v>1986577.5876422047</v>
      </c>
      <c r="BM19" s="226">
        <v>0</v>
      </c>
      <c r="BN19" s="384">
        <v>6</v>
      </c>
      <c r="BO19" s="319" t="s">
        <v>114</v>
      </c>
      <c r="BP19" s="476">
        <f>+FIT_GAS</f>
        <v>0.21</v>
      </c>
      <c r="BQ19" s="477">
        <f>-$BP$19*BQ18</f>
        <v>-7635501.4655247293</v>
      </c>
      <c r="BR19" s="477">
        <f>-$BP$19*BR18</f>
        <v>-7616924.1396719096</v>
      </c>
      <c r="BS19" s="418">
        <f t="shared" si="59"/>
        <v>18577.325852819718</v>
      </c>
      <c r="BT19" s="477">
        <f>-$BP$19*BT18</f>
        <v>-7635501.4655247293</v>
      </c>
      <c r="BU19" s="410">
        <f>-BU18*BP19</f>
        <v>-18577.325852819973</v>
      </c>
      <c r="BV19" s="219">
        <f t="shared" si="10"/>
        <v>6</v>
      </c>
      <c r="BW19" s="321"/>
      <c r="BX19" s="321"/>
      <c r="BY19" s="3"/>
      <c r="BZ19" s="3"/>
      <c r="CA19" s="3"/>
      <c r="CB19" s="3"/>
      <c r="CC19" s="3"/>
      <c r="CL19" s="219">
        <v>6</v>
      </c>
      <c r="CM19" s="478" t="s">
        <v>87</v>
      </c>
      <c r="CN19" s="238">
        <f>FIT_GAS</f>
        <v>0.21</v>
      </c>
      <c r="CO19" s="12">
        <f>-CO17*CN19</f>
        <v>1266.1871033699997</v>
      </c>
      <c r="CP19" s="12">
        <f>-CP17*CN19</f>
        <v>-115185</v>
      </c>
      <c r="CQ19" s="12">
        <f>CP19-CO19</f>
        <v>-116451.18710337</v>
      </c>
      <c r="CR19" s="12">
        <f>CP19</f>
        <v>-115185</v>
      </c>
      <c r="CS19" s="12">
        <f>CR19-CP19</f>
        <v>0</v>
      </c>
      <c r="CT19" s="248">
        <f>CT18+1</f>
        <v>6</v>
      </c>
      <c r="CU19" s="337" t="s">
        <v>80</v>
      </c>
      <c r="CV19" s="337"/>
      <c r="CW19" s="479">
        <f t="shared" ref="CW19" si="66">-CW17-CW18</f>
        <v>-1606404.4501608335</v>
      </c>
      <c r="CX19" s="479">
        <f t="shared" ref="CX19" si="67">-CX17-CX18</f>
        <v>-2376855.1976258974</v>
      </c>
      <c r="CY19" s="479">
        <f>-CY17-CY18</f>
        <v>-770450.7474650637</v>
      </c>
      <c r="CZ19" s="479">
        <f t="shared" ref="CZ19:DA19" si="68">-CZ17-CZ18</f>
        <v>-2376855.1976258974</v>
      </c>
      <c r="DA19" s="479">
        <f t="shared" si="68"/>
        <v>0</v>
      </c>
      <c r="DB19" s="387">
        <f t="shared" si="13"/>
        <v>6</v>
      </c>
      <c r="DC19" s="337" t="s">
        <v>80</v>
      </c>
      <c r="DD19" s="249"/>
      <c r="DE19" s="480">
        <f>-DE16-DE18</f>
        <v>-971582.01452121162</v>
      </c>
      <c r="DF19" s="480">
        <f>-DF16-DF18</f>
        <v>-1024228.1340822014</v>
      </c>
      <c r="DG19" s="480">
        <f t="shared" ref="DG19:DI19" si="69">-DG16-DG18</f>
        <v>-52646.119560989835</v>
      </c>
      <c r="DH19" s="480">
        <f t="shared" si="69"/>
        <v>-1048708.3546513263</v>
      </c>
      <c r="DI19" s="480">
        <f t="shared" si="69"/>
        <v>-24480.220569124907</v>
      </c>
      <c r="DJ19" s="219">
        <f t="shared" si="14"/>
        <v>6</v>
      </c>
      <c r="DK19" s="406" t="s">
        <v>125</v>
      </c>
      <c r="DL19" s="321"/>
      <c r="DM19" s="50">
        <v>25614608.633726873</v>
      </c>
      <c r="DN19" s="50">
        <v>26017231.896021232</v>
      </c>
      <c r="DO19" s="440">
        <f t="shared" si="15"/>
        <v>402623.26229435951</v>
      </c>
      <c r="DP19" s="50">
        <v>27367437.778159473</v>
      </c>
      <c r="DQ19" s="50">
        <f t="shared" si="16"/>
        <v>1350205.8821382411</v>
      </c>
      <c r="DR19" s="219">
        <f t="shared" si="17"/>
        <v>6</v>
      </c>
      <c r="DS19" s="5"/>
      <c r="DT19" s="481"/>
      <c r="DU19" s="46"/>
      <c r="DV19" s="46"/>
      <c r="DW19" s="46"/>
      <c r="DX19" s="46"/>
      <c r="DY19" s="46"/>
      <c r="DZ19" s="248">
        <v>6</v>
      </c>
      <c r="EA19" s="482" t="s">
        <v>154</v>
      </c>
      <c r="EB19" s="464">
        <v>0.49997132880489842</v>
      </c>
      <c r="EC19" s="410">
        <f>EC17*$EB$19</f>
        <v>6734928.4344369974</v>
      </c>
      <c r="ED19" s="410">
        <f>ED17*$EB$19</f>
        <v>6748403.547863475</v>
      </c>
      <c r="EE19" s="410">
        <f>EE17*$EB$19</f>
        <v>13475.113426476943</v>
      </c>
      <c r="EF19" s="410">
        <f>EF17*$EB$19</f>
        <v>7138949.9530588696</v>
      </c>
      <c r="EG19" s="410">
        <f>EG17*$EB$19</f>
        <v>390546.4051953943</v>
      </c>
      <c r="EH19" s="248">
        <f t="shared" si="30"/>
        <v>6</v>
      </c>
      <c r="EI19" s="249" t="s">
        <v>31</v>
      </c>
      <c r="EK19" s="228">
        <v>0</v>
      </c>
      <c r="EL19" s="228">
        <v>0</v>
      </c>
      <c r="EM19" s="228">
        <f t="shared" si="18"/>
        <v>0</v>
      </c>
      <c r="EN19" s="228">
        <f t="shared" si="19"/>
        <v>0</v>
      </c>
      <c r="EO19" s="228">
        <f t="shared" si="20"/>
        <v>0</v>
      </c>
      <c r="EP19" s="8">
        <f t="shared" si="31"/>
        <v>6</v>
      </c>
      <c r="EQ19" s="337" t="s">
        <v>405</v>
      </c>
      <c r="ER19" s="8"/>
      <c r="ES19" s="1">
        <v>150570.87421800001</v>
      </c>
      <c r="ET19" s="1">
        <v>155899.85061600001</v>
      </c>
      <c r="EU19" s="1">
        <f>ET19-ES19</f>
        <v>5328.9763979999989</v>
      </c>
      <c r="EV19" s="1">
        <f t="shared" ref="EV19:EV20" si="70">ET19</f>
        <v>155899.85061600001</v>
      </c>
      <c r="EW19" s="1">
        <f>EV19-ET19</f>
        <v>0</v>
      </c>
      <c r="EX19" s="219">
        <f t="shared" si="22"/>
        <v>6</v>
      </c>
      <c r="EY19" s="456" t="s">
        <v>84</v>
      </c>
      <c r="EZ19" s="464">
        <v>0.21</v>
      </c>
      <c r="FA19" s="1">
        <f>-$EZ$19*FA17</f>
        <v>-24424.343999999997</v>
      </c>
      <c r="FB19" s="1">
        <f>-$EZ$19*FB17</f>
        <v>-24424.343999999997</v>
      </c>
      <c r="FC19" s="1">
        <f>-$EZ$19*FC17</f>
        <v>0</v>
      </c>
      <c r="FD19" s="1">
        <f>-$EZ$19*FD17</f>
        <v>-5113.1059000000059</v>
      </c>
      <c r="FE19" s="1">
        <f>-$EZ$19*FE17</f>
        <v>19311.238099999991</v>
      </c>
      <c r="FF19" s="248">
        <f t="shared" si="35"/>
        <v>6</v>
      </c>
      <c r="FG19" s="461" t="s">
        <v>80</v>
      </c>
      <c r="FH19" s="396"/>
      <c r="FI19" s="483">
        <f>-FI16-FI18</f>
        <v>-6796586.0808000043</v>
      </c>
      <c r="FJ19" s="483">
        <f>-FJ16-FJ18</f>
        <v>-6796586.0808000043</v>
      </c>
      <c r="FK19" s="483">
        <f>-FK16-FK18</f>
        <v>0</v>
      </c>
      <c r="FL19" s="483">
        <f>-FL16-FL18</f>
        <v>-7473529.7113378504</v>
      </c>
      <c r="FM19" s="483">
        <f>-FM16-FM18</f>
        <v>-676943.63053784647</v>
      </c>
      <c r="FN19" s="248">
        <f t="shared" si="37"/>
        <v>6</v>
      </c>
      <c r="FO19" s="321" t="s">
        <v>378</v>
      </c>
      <c r="FP19" s="321"/>
      <c r="FQ19" s="330"/>
      <c r="FR19" s="330"/>
      <c r="FS19" s="330">
        <f>SUM(FS16:FS18)</f>
        <v>0</v>
      </c>
      <c r="FT19" s="330">
        <f>SUM(FT16:FT18)</f>
        <v>23307272.312570188</v>
      </c>
      <c r="FU19" s="330">
        <f>SUM(FU16:FU18)</f>
        <v>23307272.312570188</v>
      </c>
      <c r="FV19" s="219">
        <v>6</v>
      </c>
      <c r="FW19" s="7" t="s">
        <v>340</v>
      </c>
      <c r="FX19" s="426"/>
      <c r="FY19" s="226">
        <v>450520.55347530002</v>
      </c>
      <c r="FZ19" s="226">
        <v>450520.55347530002</v>
      </c>
      <c r="GA19" s="226">
        <f t="shared" si="62"/>
        <v>0</v>
      </c>
      <c r="GB19" s="226">
        <v>337383.05895000004</v>
      </c>
      <c r="GC19" s="226">
        <f t="shared" si="38"/>
        <v>-113137.49452529999</v>
      </c>
      <c r="GD19" s="402">
        <f t="shared" si="39"/>
        <v>6</v>
      </c>
      <c r="GE19" s="321" t="s">
        <v>378</v>
      </c>
      <c r="GF19" s="446"/>
      <c r="GG19" s="330">
        <f>SUM(GG16:GG18)</f>
        <v>0</v>
      </c>
      <c r="GH19" s="330">
        <f>SUM(GH16:GH18)</f>
        <v>0</v>
      </c>
      <c r="GI19" s="330">
        <f>SUM(GI16:GI18)</f>
        <v>0</v>
      </c>
      <c r="GJ19" s="330">
        <f>SUM(GJ16:GJ18)</f>
        <v>10755552.498687336</v>
      </c>
      <c r="GK19" s="330">
        <f>SUM(GK16:GK18)</f>
        <v>10755552.498687336</v>
      </c>
      <c r="GL19" s="8">
        <f t="shared" si="41"/>
        <v>6</v>
      </c>
      <c r="GM19" s="249" t="s">
        <v>84</v>
      </c>
      <c r="GN19" s="464">
        <f>FIT_GAS</f>
        <v>0.21</v>
      </c>
      <c r="GO19" s="228">
        <f>-GO17*GN19</f>
        <v>-125448.12</v>
      </c>
      <c r="GP19" s="228">
        <f>-GP17*GN19</f>
        <v>-125448.12</v>
      </c>
      <c r="GQ19" s="228">
        <f>GP19-GO19</f>
        <v>0</v>
      </c>
      <c r="GR19" s="228">
        <f>-GR17*GN19</f>
        <v>-33978.927932250001</v>
      </c>
      <c r="GS19" s="228">
        <f>-GS17*GN19</f>
        <v>91469.192067750002</v>
      </c>
      <c r="GT19" s="248">
        <v>6</v>
      </c>
      <c r="GU19" s="373" t="s">
        <v>371</v>
      </c>
      <c r="GV19" s="446"/>
      <c r="GW19" s="225">
        <v>0</v>
      </c>
      <c r="GX19" s="225">
        <f>GW19</f>
        <v>0</v>
      </c>
      <c r="GY19" s="225">
        <f>GX19-GW19</f>
        <v>0</v>
      </c>
      <c r="GZ19" s="225">
        <v>-722630.37767299998</v>
      </c>
      <c r="HA19" s="225">
        <f>GZ19-GX19</f>
        <v>-722630.37767299998</v>
      </c>
      <c r="HB19" s="219">
        <v>6</v>
      </c>
      <c r="HE19" s="20"/>
      <c r="HF19" s="20"/>
      <c r="HG19" s="20"/>
      <c r="HH19" s="20"/>
      <c r="HI19" s="20"/>
      <c r="HJ19" s="8">
        <f t="shared" si="44"/>
        <v>6</v>
      </c>
      <c r="HK19" s="337" t="s">
        <v>102</v>
      </c>
      <c r="HM19" s="224">
        <f>SUM(HM14:HM18)</f>
        <v>23609047.271044999</v>
      </c>
      <c r="HN19" s="224">
        <f t="shared" ref="HN19:HQ19" si="71">SUM(HN14:HN18)</f>
        <v>23609047.271044999</v>
      </c>
      <c r="HO19" s="224">
        <f t="shared" si="71"/>
        <v>0</v>
      </c>
      <c r="HP19" s="224">
        <f t="shared" si="71"/>
        <v>23993626.217678003</v>
      </c>
      <c r="HQ19" s="224">
        <f t="shared" si="71"/>
        <v>384578.94663300115</v>
      </c>
      <c r="HR19" s="219">
        <f t="shared" si="45"/>
        <v>6</v>
      </c>
      <c r="HS19" s="249" t="s">
        <v>378</v>
      </c>
      <c r="HT19" s="464"/>
      <c r="HU19" s="229">
        <f t="shared" ref="HU19:HV19" si="72">SUM(HU16:HU18)</f>
        <v>0</v>
      </c>
      <c r="HV19" s="229">
        <f t="shared" si="72"/>
        <v>0</v>
      </c>
      <c r="HW19" s="229">
        <f>SUM(HW16:HW18)</f>
        <v>0</v>
      </c>
      <c r="HX19" s="229">
        <f>SUM(HX16:HX18)</f>
        <v>2961814.0198504785</v>
      </c>
      <c r="HY19" s="229">
        <f>SUM(HY16:HY18)</f>
        <v>2961814.0198504785</v>
      </c>
      <c r="HZ19" s="219">
        <f t="shared" si="46"/>
        <v>6</v>
      </c>
      <c r="IA19" s="404"/>
      <c r="IB19" s="404"/>
      <c r="IC19" s="404"/>
      <c r="ID19" s="404"/>
      <c r="IE19" s="404"/>
      <c r="IF19" s="404"/>
      <c r="IG19" s="404"/>
    </row>
    <row r="20" spans="1:241" ht="15.6" thickTop="1" thickBot="1" x14ac:dyDescent="0.35">
      <c r="A20" s="370">
        <f t="shared" si="0"/>
        <v>7</v>
      </c>
      <c r="B20" s="484" t="s">
        <v>467</v>
      </c>
      <c r="C20" s="28"/>
      <c r="D20" s="485"/>
      <c r="E20" s="485"/>
      <c r="F20" s="486">
        <f>SUM(F15:F19)</f>
        <v>-45678173.786802821</v>
      </c>
      <c r="G20" s="485"/>
      <c r="H20" s="485">
        <f>SUM(H15:H19)</f>
        <v>50971.28</v>
      </c>
      <c r="I20" s="219">
        <f t="shared" si="25"/>
        <v>7</v>
      </c>
      <c r="J20" s="460"/>
      <c r="K20" s="3"/>
      <c r="L20" s="3"/>
      <c r="M20" s="3"/>
      <c r="N20" s="3"/>
      <c r="O20" s="3"/>
      <c r="P20" s="3"/>
      <c r="Q20" s="25"/>
      <c r="R20" s="25"/>
      <c r="S20" s="25"/>
      <c r="T20" s="25"/>
      <c r="U20" s="25"/>
      <c r="V20" s="25"/>
      <c r="W20" s="25"/>
      <c r="X20" s="25"/>
      <c r="Y20" s="248">
        <f t="shared" si="3"/>
        <v>7</v>
      </c>
      <c r="Z20" s="369"/>
      <c r="AC20" s="244"/>
      <c r="AD20" s="244"/>
      <c r="AE20" s="244"/>
      <c r="AF20" s="244"/>
      <c r="AG20" s="370">
        <f t="shared" si="4"/>
        <v>8</v>
      </c>
      <c r="AH20" s="379" t="s">
        <v>165</v>
      </c>
      <c r="AI20" s="412"/>
      <c r="AJ20" s="333">
        <v>46012584.141477734</v>
      </c>
      <c r="AK20" s="413">
        <v>0</v>
      </c>
      <c r="AL20" s="333">
        <f t="shared" si="5"/>
        <v>-46012584.141477734</v>
      </c>
      <c r="AM20" s="413">
        <f t="shared" si="6"/>
        <v>0</v>
      </c>
      <c r="AN20" s="413">
        <f t="shared" si="7"/>
        <v>0</v>
      </c>
      <c r="AO20" s="248">
        <f t="shared" si="8"/>
        <v>7</v>
      </c>
      <c r="AP20" s="249"/>
      <c r="AQ20" s="249"/>
      <c r="AR20" s="452"/>
      <c r="AS20" s="452"/>
      <c r="AT20" s="452"/>
      <c r="AU20" s="431">
        <f>SUM(AU18:AU19)</f>
        <v>888603.34679885535</v>
      </c>
      <c r="AV20" s="487"/>
      <c r="AW20" s="8"/>
      <c r="AX20" s="402"/>
      <c r="AY20" s="8"/>
      <c r="AZ20" s="488"/>
      <c r="BA20" s="489"/>
      <c r="BB20" s="490"/>
      <c r="BC20" s="490"/>
      <c r="BD20" s="490"/>
      <c r="BF20" s="219">
        <f t="shared" si="9"/>
        <v>7</v>
      </c>
      <c r="BG20" s="417" t="s">
        <v>126</v>
      </c>
      <c r="BI20" s="226">
        <v>590456.90913402813</v>
      </c>
      <c r="BJ20" s="226">
        <v>619932.49943511235</v>
      </c>
      <c r="BK20" s="226">
        <v>29475.590301084216</v>
      </c>
      <c r="BL20" s="226">
        <v>619932.49943511235</v>
      </c>
      <c r="BM20" s="226">
        <v>0</v>
      </c>
      <c r="BN20" s="384">
        <v>7</v>
      </c>
      <c r="BO20" s="319" t="s">
        <v>88</v>
      </c>
      <c r="BP20" s="319"/>
      <c r="BQ20" s="491">
        <f>-BQ18-BQ19</f>
        <v>-28724029.32268827</v>
      </c>
      <c r="BR20" s="491">
        <f>-BR18-BR19</f>
        <v>-28654143.192099091</v>
      </c>
      <c r="BS20" s="491">
        <f>-BS18-BS19</f>
        <v>69886.130589178763</v>
      </c>
      <c r="BT20" s="491">
        <f>-BT18-BT19</f>
        <v>-28724029.32268827</v>
      </c>
      <c r="BU20" s="491">
        <f>-BU18-BU19</f>
        <v>-69886.130589179898</v>
      </c>
      <c r="BV20" s="219">
        <f t="shared" si="10"/>
        <v>7</v>
      </c>
      <c r="BW20" s="321" t="s">
        <v>97</v>
      </c>
      <c r="BX20" s="476">
        <f>+FIT_GAS</f>
        <v>0.21</v>
      </c>
      <c r="BY20" s="492">
        <f>-BY18*$BX$20</f>
        <v>-12771.078916391029</v>
      </c>
      <c r="BZ20" s="492">
        <f>-BZ18*$BX$20</f>
        <v>-11752.705283241794</v>
      </c>
      <c r="CA20" s="492">
        <f>-CA18*$BX$20</f>
        <v>1018.3736331492352</v>
      </c>
      <c r="CB20" s="492">
        <f>-CB18*$BX$20</f>
        <v>-12771.078916391029</v>
      </c>
      <c r="CC20" s="492">
        <f>-CC18*BX20</f>
        <v>-1018.3736331492352</v>
      </c>
      <c r="CL20" s="219">
        <f t="shared" si="12"/>
        <v>7</v>
      </c>
      <c r="CM20" s="478" t="s">
        <v>88</v>
      </c>
      <c r="CN20" s="478"/>
      <c r="CO20" s="493">
        <f>-CO17-CO19</f>
        <v>4763.2752936299994</v>
      </c>
      <c r="CP20" s="493">
        <f t="shared" ref="CP20:CS20" si="73">-CP17-CP19</f>
        <v>-433315</v>
      </c>
      <c r="CQ20" s="493">
        <f t="shared" si="73"/>
        <v>-438078.27529363008</v>
      </c>
      <c r="CR20" s="493">
        <f t="shared" si="73"/>
        <v>-433315</v>
      </c>
      <c r="CS20" s="493">
        <f t="shared" si="73"/>
        <v>0</v>
      </c>
      <c r="CT20" s="387"/>
      <c r="DB20" s="387"/>
      <c r="DJ20" s="219">
        <f t="shared" si="14"/>
        <v>7</v>
      </c>
      <c r="DK20" s="406" t="s">
        <v>126</v>
      </c>
      <c r="DL20" s="321"/>
      <c r="DM20" s="50">
        <v>8106312.9809994772</v>
      </c>
      <c r="DN20" s="439">
        <v>8119269.1840749597</v>
      </c>
      <c r="DO20" s="440">
        <f t="shared" si="15"/>
        <v>12956.20307548251</v>
      </c>
      <c r="DP20" s="439">
        <v>8393646.5255392529</v>
      </c>
      <c r="DQ20" s="439">
        <f t="shared" si="16"/>
        <v>274377.34146429319</v>
      </c>
      <c r="DR20" s="219">
        <f t="shared" si="17"/>
        <v>7</v>
      </c>
      <c r="DS20" s="392" t="s">
        <v>150</v>
      </c>
      <c r="DT20" s="494"/>
      <c r="DU20" s="46"/>
      <c r="DV20" s="46"/>
      <c r="DW20" s="46"/>
      <c r="DX20" s="46"/>
      <c r="DY20" s="46"/>
      <c r="DZ20" s="248">
        <v>7</v>
      </c>
      <c r="EA20" s="495" t="s">
        <v>289</v>
      </c>
      <c r="EC20" s="228">
        <v>6749185.0726644062</v>
      </c>
      <c r="ED20" s="442">
        <v>6749185.0726644062</v>
      </c>
      <c r="EE20" s="442">
        <f>ED20-EC20</f>
        <v>0</v>
      </c>
      <c r="EF20" s="442">
        <v>6749185.0726644062</v>
      </c>
      <c r="EG20" s="443">
        <f>EF20-ED20</f>
        <v>0</v>
      </c>
      <c r="EH20" s="248">
        <f t="shared" si="30"/>
        <v>7</v>
      </c>
      <c r="EI20" s="249" t="s">
        <v>32</v>
      </c>
      <c r="EK20" s="496">
        <f>SUM(EK14:EK19)</f>
        <v>1951252143.2591095</v>
      </c>
      <c r="EL20" s="496">
        <f t="shared" ref="EL20:EO20" si="74">SUM(EL14:EL19)</f>
        <v>2101917831.5899961</v>
      </c>
      <c r="EM20" s="497">
        <f t="shared" si="74"/>
        <v>150665688.3308869</v>
      </c>
      <c r="EN20" s="497">
        <f t="shared" si="74"/>
        <v>2101917831.5899961</v>
      </c>
      <c r="EO20" s="498">
        <f t="shared" si="74"/>
        <v>0</v>
      </c>
      <c r="EP20" s="8">
        <f t="shared" si="31"/>
        <v>7</v>
      </c>
      <c r="EQ20" s="337" t="s">
        <v>406</v>
      </c>
      <c r="ER20" s="8"/>
      <c r="ES20" s="230">
        <v>159133.14000000001</v>
      </c>
      <c r="ET20" s="230">
        <v>168529.08</v>
      </c>
      <c r="EU20" s="230">
        <f>ET20-ES20</f>
        <v>9395.9399999999732</v>
      </c>
      <c r="EV20" s="230">
        <f t="shared" si="70"/>
        <v>168529.08</v>
      </c>
      <c r="EW20" s="230">
        <f>EV20-ET20</f>
        <v>0</v>
      </c>
      <c r="EX20" s="219">
        <f t="shared" si="22"/>
        <v>7</v>
      </c>
      <c r="EY20" s="456" t="s">
        <v>80</v>
      </c>
      <c r="EZ20" s="456"/>
      <c r="FA20" s="231">
        <f>-FA17-FA19</f>
        <v>-91882.055999999997</v>
      </c>
      <c r="FB20" s="231">
        <f>-FB17-FB19</f>
        <v>-91882.055999999997</v>
      </c>
      <c r="FC20" s="231">
        <f>-FC17-FC19</f>
        <v>0</v>
      </c>
      <c r="FD20" s="231">
        <f>-FD17-FD19</f>
        <v>-19235.017433333356</v>
      </c>
      <c r="FE20" s="231">
        <f>-FE17-FE19</f>
        <v>72647.038566666641</v>
      </c>
      <c r="FH20" s="314"/>
      <c r="FI20" s="499"/>
      <c r="FJ20" s="314"/>
      <c r="FK20" s="500"/>
      <c r="FL20" s="320"/>
      <c r="FM20" s="333"/>
      <c r="FN20" s="248">
        <f t="shared" si="37"/>
        <v>7</v>
      </c>
      <c r="FO20" s="400" t="s">
        <v>379</v>
      </c>
      <c r="FP20" s="321"/>
      <c r="FQ20" s="330"/>
      <c r="FR20" s="330"/>
      <c r="FS20" s="330"/>
      <c r="FT20" s="330"/>
      <c r="FU20" s="330"/>
      <c r="FV20" s="219">
        <v>7</v>
      </c>
      <c r="FW20" s="7" t="s">
        <v>341</v>
      </c>
      <c r="FX20" s="426"/>
      <c r="FY20" s="226">
        <v>165631.64519055001</v>
      </c>
      <c r="FZ20" s="226">
        <v>165631.64519055001</v>
      </c>
      <c r="GA20" s="226">
        <f t="shared" si="62"/>
        <v>0</v>
      </c>
      <c r="GB20" s="226">
        <v>400013.62731539999</v>
      </c>
      <c r="GC20" s="226">
        <f t="shared" si="38"/>
        <v>234381.98212484998</v>
      </c>
      <c r="GD20" s="402">
        <f t="shared" si="39"/>
        <v>7</v>
      </c>
      <c r="GE20" s="321"/>
      <c r="GF20" s="446"/>
      <c r="GG20" s="330"/>
      <c r="GH20" s="330"/>
      <c r="GI20" s="330"/>
      <c r="GJ20" s="330"/>
      <c r="GK20" s="330"/>
      <c r="GL20" s="8">
        <f t="shared" si="41"/>
        <v>7</v>
      </c>
      <c r="GM20" s="249" t="s">
        <v>80</v>
      </c>
      <c r="GN20" s="3"/>
      <c r="GO20" s="231">
        <f>-GO17-GO19</f>
        <v>-471923.88</v>
      </c>
      <c r="GP20" s="231">
        <f t="shared" ref="GP20:GS20" si="75">-GP17-GP19</f>
        <v>-471923.88</v>
      </c>
      <c r="GQ20" s="231">
        <f t="shared" si="75"/>
        <v>0</v>
      </c>
      <c r="GR20" s="231">
        <f t="shared" si="75"/>
        <v>-127825.49079275</v>
      </c>
      <c r="GS20" s="231">
        <f t="shared" si="75"/>
        <v>344098.38920724997</v>
      </c>
      <c r="GT20" s="248">
        <v>7</v>
      </c>
      <c r="GU20" s="501" t="s">
        <v>83</v>
      </c>
      <c r="GV20" s="321"/>
      <c r="GW20" s="227">
        <f>GW19</f>
        <v>0</v>
      </c>
      <c r="GX20" s="227">
        <f t="shared" ref="GX20:HA20" si="76">GX19</f>
        <v>0</v>
      </c>
      <c r="GY20" s="227">
        <f t="shared" si="76"/>
        <v>0</v>
      </c>
      <c r="GZ20" s="227">
        <f t="shared" si="76"/>
        <v>-722630.37767299998</v>
      </c>
      <c r="HA20" s="227">
        <f t="shared" si="76"/>
        <v>-722630.37767299998</v>
      </c>
      <c r="HB20" s="219">
        <v>7</v>
      </c>
      <c r="HC20" s="400" t="s">
        <v>359</v>
      </c>
      <c r="HD20" s="400"/>
      <c r="HE20" s="20"/>
      <c r="HF20" s="20"/>
      <c r="HG20" s="20"/>
      <c r="HH20" s="20"/>
      <c r="HI20" s="20"/>
      <c r="HJ20" s="8">
        <f t="shared" si="44"/>
        <v>7</v>
      </c>
      <c r="HK20" s="478"/>
      <c r="HL20" s="3"/>
      <c r="HM20" s="1"/>
      <c r="HN20" s="1"/>
      <c r="HO20" s="1"/>
      <c r="HP20" s="1"/>
      <c r="HQ20" s="1"/>
      <c r="HR20" s="219">
        <f t="shared" si="45"/>
        <v>7</v>
      </c>
      <c r="HS20" s="3"/>
      <c r="HT20" s="3"/>
      <c r="HU20" s="3"/>
      <c r="HV20" s="3"/>
      <c r="HW20" s="3"/>
      <c r="HX20" s="3"/>
      <c r="HY20" s="3"/>
      <c r="HZ20" s="219">
        <f t="shared" si="46"/>
        <v>7</v>
      </c>
      <c r="IA20" s="404" t="s">
        <v>358</v>
      </c>
      <c r="IB20" s="404"/>
      <c r="IC20" s="257">
        <f t="shared" ref="IC20:IE20" si="77">IC18</f>
        <v>105391.52511888376</v>
      </c>
      <c r="ID20" s="257">
        <f t="shared" si="77"/>
        <v>0</v>
      </c>
      <c r="IE20" s="257">
        <f t="shared" si="77"/>
        <v>-105391.52511888376</v>
      </c>
      <c r="IF20" s="257">
        <f>IF18</f>
        <v>0</v>
      </c>
      <c r="IG20" s="257">
        <f t="shared" ref="IG20" si="78">IG18</f>
        <v>0</v>
      </c>
    </row>
    <row r="21" spans="1:241" ht="15.6" thickTop="1" thickBot="1" x14ac:dyDescent="0.35">
      <c r="A21" s="370">
        <f t="shared" si="0"/>
        <v>8</v>
      </c>
      <c r="B21" s="405"/>
      <c r="C21" s="406"/>
      <c r="D21" s="333"/>
      <c r="E21" s="333"/>
      <c r="F21" s="320"/>
      <c r="G21" s="320"/>
      <c r="H21" s="320"/>
      <c r="I21" s="219">
        <f t="shared" si="25"/>
        <v>8</v>
      </c>
      <c r="J21" s="409" t="s">
        <v>366</v>
      </c>
      <c r="K21" s="3"/>
      <c r="L21" s="1">
        <v>0</v>
      </c>
      <c r="M21" s="1">
        <v>0</v>
      </c>
      <c r="N21" s="1">
        <f>M21-L21</f>
        <v>0</v>
      </c>
      <c r="O21" s="49">
        <v>15518806.039205611</v>
      </c>
      <c r="P21" s="46">
        <f>O21-M21</f>
        <v>15518806.039205611</v>
      </c>
      <c r="Q21" s="25"/>
      <c r="R21" s="25"/>
      <c r="S21" s="25"/>
      <c r="T21" s="25"/>
      <c r="U21" s="25"/>
      <c r="V21" s="25"/>
      <c r="W21" s="25"/>
      <c r="X21" s="25"/>
      <c r="Y21" s="248">
        <f t="shared" si="3"/>
        <v>8</v>
      </c>
      <c r="Z21" s="373" t="s">
        <v>113</v>
      </c>
      <c r="AA21" s="232">
        <f>FIT_GAS</f>
        <v>0.21</v>
      </c>
      <c r="AB21" s="12">
        <f>-AB19*$AA$21</f>
        <v>0</v>
      </c>
      <c r="AC21" s="255">
        <f>-AC19*$AA$21</f>
        <v>-12916465.693796374</v>
      </c>
      <c r="AD21" s="255">
        <f>-AD19*$AA$21</f>
        <v>-12916465.693796374</v>
      </c>
      <c r="AE21" s="255">
        <f>-AE19*$AA$21</f>
        <v>-12733761.375626372</v>
      </c>
      <c r="AF21" s="255">
        <f>-AF19*$AA$21</f>
        <v>182704.31817000164</v>
      </c>
      <c r="AG21" s="370">
        <f t="shared" si="4"/>
        <v>9</v>
      </c>
      <c r="AH21" s="379" t="s">
        <v>166</v>
      </c>
      <c r="AI21" s="412"/>
      <c r="AJ21" s="333">
        <v>-43921450.229999997</v>
      </c>
      <c r="AK21" s="413">
        <v>0</v>
      </c>
      <c r="AL21" s="333">
        <f t="shared" si="5"/>
        <v>43921450.229999997</v>
      </c>
      <c r="AM21" s="413">
        <f t="shared" si="6"/>
        <v>0</v>
      </c>
      <c r="AN21" s="413">
        <f t="shared" si="7"/>
        <v>0</v>
      </c>
      <c r="AO21" s="248">
        <f t="shared" si="8"/>
        <v>8</v>
      </c>
      <c r="AP21" s="502" t="s">
        <v>80</v>
      </c>
      <c r="AQ21" s="502"/>
      <c r="AR21" s="210">
        <f>-AR18-AR19</f>
        <v>367715.77933481417</v>
      </c>
      <c r="AS21" s="210">
        <f>-AS18-AS19</f>
        <v>-888603.34679885535</v>
      </c>
      <c r="AT21" s="210">
        <f>-AT18-AT19</f>
        <v>-1256319.1261336696</v>
      </c>
      <c r="AU21" s="210">
        <f>-AU18-AU19</f>
        <v>-888603.34679885535</v>
      </c>
      <c r="AV21" s="210">
        <f>-AV18-AV19</f>
        <v>0</v>
      </c>
      <c r="AW21" s="8"/>
      <c r="AX21" s="8"/>
      <c r="AY21" s="8"/>
      <c r="AZ21" s="503"/>
      <c r="BA21" s="504"/>
      <c r="BB21" s="505"/>
      <c r="BC21" s="504"/>
      <c r="BD21" s="504"/>
      <c r="BE21" s="506"/>
      <c r="BF21" s="219">
        <f t="shared" si="9"/>
        <v>8</v>
      </c>
      <c r="BG21" s="417" t="s">
        <v>127</v>
      </c>
      <c r="BH21" s="321"/>
      <c r="BI21" s="226">
        <v>62084.89431110851</v>
      </c>
      <c r="BJ21" s="226">
        <v>65121.924963913763</v>
      </c>
      <c r="BK21" s="226">
        <v>3037.0306528052533</v>
      </c>
      <c r="BL21" s="226">
        <v>65121.924963913763</v>
      </c>
      <c r="BM21" s="226">
        <v>0</v>
      </c>
      <c r="BN21" s="387"/>
      <c r="BO21" s="507"/>
      <c r="BP21" s="224"/>
      <c r="BQ21" s="18"/>
      <c r="BR21" s="18"/>
      <c r="BS21" s="18"/>
      <c r="BT21" s="18"/>
      <c r="BU21" s="18"/>
      <c r="BV21" s="219">
        <f t="shared" si="10"/>
        <v>8</v>
      </c>
      <c r="BW21" s="321"/>
      <c r="BX21" s="321"/>
      <c r="BY21" s="193"/>
      <c r="BZ21" s="193"/>
      <c r="CA21" s="193"/>
      <c r="CB21" s="193"/>
      <c r="CC21" s="193"/>
      <c r="CL21" s="219"/>
      <c r="CM21" s="458"/>
      <c r="CN21" s="458"/>
      <c r="CT21" s="387"/>
      <c r="DB21" s="387"/>
      <c r="DJ21" s="219">
        <f t="shared" si="14"/>
        <v>8</v>
      </c>
      <c r="DK21" s="406" t="s">
        <v>127</v>
      </c>
      <c r="DL21" s="321"/>
      <c r="DM21" s="50">
        <v>852371.36942795804</v>
      </c>
      <c r="DN21" s="439">
        <v>853095.85341986758</v>
      </c>
      <c r="DO21" s="440">
        <f t="shared" si="15"/>
        <v>724.48399190953933</v>
      </c>
      <c r="DP21" s="439">
        <v>884707.95937244641</v>
      </c>
      <c r="DQ21" s="439">
        <f t="shared" si="16"/>
        <v>31612.10595257883</v>
      </c>
      <c r="DR21" s="219">
        <f t="shared" si="17"/>
        <v>8</v>
      </c>
      <c r="DS21" s="319" t="s">
        <v>151</v>
      </c>
      <c r="DT21" s="508"/>
      <c r="DU21" s="46">
        <v>471519.19799999997</v>
      </c>
      <c r="DV21" s="46">
        <v>482128.37995499995</v>
      </c>
      <c r="DW21" s="46">
        <f>+DV21-DU21</f>
        <v>10609.181954999978</v>
      </c>
      <c r="DX21" s="46">
        <v>510248.51771587541</v>
      </c>
      <c r="DY21" s="46">
        <f>+DX21-DV21</f>
        <v>28120.137760875456</v>
      </c>
      <c r="DZ21" s="248">
        <v>8</v>
      </c>
      <c r="EA21" s="319" t="s">
        <v>290</v>
      </c>
      <c r="EC21" s="1">
        <f>EC19-EC20</f>
        <v>-14256.638227408752</v>
      </c>
      <c r="ED21" s="1">
        <f t="shared" ref="ED21:EG21" si="79">ED19-ED20</f>
        <v>-781.52480093110353</v>
      </c>
      <c r="EE21" s="1">
        <f t="shared" si="79"/>
        <v>13475.113426476943</v>
      </c>
      <c r="EF21" s="1">
        <f t="shared" si="79"/>
        <v>389764.88039446343</v>
      </c>
      <c r="EG21" s="1">
        <f t="shared" si="79"/>
        <v>390546.4051953943</v>
      </c>
      <c r="EH21" s="248"/>
      <c r="EK21" s="20"/>
      <c r="EL21" s="20"/>
      <c r="EM21" s="20"/>
      <c r="EN21" s="20"/>
      <c r="EO21" s="20"/>
      <c r="EP21" s="8">
        <f t="shared" si="31"/>
        <v>8</v>
      </c>
      <c r="EQ21" s="337" t="s">
        <v>285</v>
      </c>
      <c r="ER21" s="8"/>
      <c r="ES21" s="1">
        <f>SUM(ES18:ES20)</f>
        <v>143075300.43646103</v>
      </c>
      <c r="ET21" s="1">
        <f t="shared" ref="ET21:EW21" si="80">SUM(ET18:ET20)</f>
        <v>155402272.09059581</v>
      </c>
      <c r="EU21" s="1">
        <f t="shared" si="80"/>
        <v>12326971.654134724</v>
      </c>
      <c r="EV21" s="1">
        <f t="shared" si="80"/>
        <v>155402272.09059581</v>
      </c>
      <c r="EW21" s="1">
        <f t="shared" si="80"/>
        <v>0</v>
      </c>
      <c r="EX21" s="219"/>
      <c r="EY21" s="3"/>
      <c r="EZ21" s="3"/>
      <c r="FA21" s="3"/>
      <c r="FB21" s="3"/>
      <c r="FC21" s="3"/>
      <c r="FD21" s="3"/>
      <c r="FE21" s="3"/>
      <c r="FH21" s="444"/>
      <c r="FI21" s="444"/>
      <c r="FJ21" s="444"/>
      <c r="FK21" s="500"/>
      <c r="FL21" s="333"/>
      <c r="FM21" s="333"/>
      <c r="FN21" s="248">
        <f t="shared" si="37"/>
        <v>8</v>
      </c>
      <c r="FO21" s="446" t="s">
        <v>355</v>
      </c>
      <c r="FP21" s="321"/>
      <c r="FQ21" s="333"/>
      <c r="FR21" s="333"/>
      <c r="FS21" s="333">
        <v>0</v>
      </c>
      <c r="FT21" s="333">
        <v>5723684.9097355017</v>
      </c>
      <c r="FU21" s="333">
        <f>+FT21-FS21</f>
        <v>5723684.9097355017</v>
      </c>
      <c r="FV21" s="219">
        <v>8</v>
      </c>
      <c r="FW21" s="7" t="s">
        <v>342</v>
      </c>
      <c r="FX21" s="426"/>
      <c r="FY21" s="226">
        <v>456719.19790035009</v>
      </c>
      <c r="FZ21" s="226">
        <v>456719.19790035009</v>
      </c>
      <c r="GA21" s="226">
        <f t="shared" si="62"/>
        <v>0</v>
      </c>
      <c r="GB21" s="226">
        <v>365489.92458720005</v>
      </c>
      <c r="GC21" s="226">
        <f t="shared" si="38"/>
        <v>-91229.273313150043</v>
      </c>
      <c r="GD21" s="402">
        <f t="shared" si="39"/>
        <v>8</v>
      </c>
      <c r="GE21" s="400" t="s">
        <v>379</v>
      </c>
      <c r="GF21" s="446"/>
      <c r="GG21" s="333"/>
      <c r="GH21" s="333"/>
      <c r="GI21" s="333"/>
      <c r="GJ21" s="333"/>
      <c r="GK21" s="333"/>
      <c r="GL21" s="8"/>
      <c r="GN21" s="3"/>
      <c r="GO21" s="3"/>
      <c r="GP21" s="3"/>
      <c r="GQ21" s="3"/>
      <c r="GR21" s="3"/>
      <c r="GS21" s="3"/>
      <c r="GT21" s="248">
        <v>8</v>
      </c>
      <c r="GU21" s="319"/>
      <c r="GV21" s="319"/>
      <c r="GW21" s="5"/>
      <c r="GX21" s="5"/>
      <c r="GY21" s="5"/>
      <c r="GZ21" s="5"/>
      <c r="HA21" s="5"/>
      <c r="HB21" s="219">
        <v>8</v>
      </c>
      <c r="HC21" s="406" t="s">
        <v>398</v>
      </c>
      <c r="HD21" s="406"/>
      <c r="HE21" s="1">
        <v>0</v>
      </c>
      <c r="HF21" s="1">
        <v>0</v>
      </c>
      <c r="HG21" s="1">
        <f t="shared" ref="HG21" si="81">HF21-HE21</f>
        <v>0</v>
      </c>
      <c r="HH21" s="1">
        <v>162101.82341541813</v>
      </c>
      <c r="HI21" s="1">
        <f t="shared" ref="HI21" si="82">HH21-HG21</f>
        <v>162101.82341541813</v>
      </c>
      <c r="HJ21" s="8">
        <f t="shared" si="44"/>
        <v>8</v>
      </c>
      <c r="HK21" s="478" t="s">
        <v>106</v>
      </c>
      <c r="HL21" s="464">
        <f>FIT_GAS</f>
        <v>0.21</v>
      </c>
      <c r="HM21" s="20">
        <f>-HM19*HL21</f>
        <v>-4957899.9269194501</v>
      </c>
      <c r="HN21" s="20">
        <f>-HN19*HL21</f>
        <v>-4957899.9269194501</v>
      </c>
      <c r="HO21" s="224">
        <f t="shared" ref="HO21" si="83">HN21-HM21</f>
        <v>0</v>
      </c>
      <c r="HP21" s="20">
        <f>-HP19*HL21</f>
        <v>-5038661.5057123806</v>
      </c>
      <c r="HQ21" s="20">
        <f>HP21-HN21</f>
        <v>-80761.578792930581</v>
      </c>
      <c r="HR21" s="219">
        <f t="shared" si="45"/>
        <v>8</v>
      </c>
      <c r="HS21" s="3" t="s">
        <v>358</v>
      </c>
      <c r="HT21" s="3"/>
      <c r="HU21" s="210">
        <f t="shared" ref="HU21:HW21" si="84">HU19</f>
        <v>0</v>
      </c>
      <c r="HV21" s="210">
        <f t="shared" si="84"/>
        <v>0</v>
      </c>
      <c r="HW21" s="210">
        <f t="shared" si="84"/>
        <v>0</v>
      </c>
      <c r="HX21" s="210">
        <f>HX19</f>
        <v>2961814.0198504785</v>
      </c>
      <c r="HY21" s="210">
        <f t="shared" ref="HY21" si="85">HY19</f>
        <v>2961814.0198504785</v>
      </c>
    </row>
    <row r="22" spans="1:241" ht="15.6" thickTop="1" thickBot="1" x14ac:dyDescent="0.35">
      <c r="A22" s="370">
        <f t="shared" si="0"/>
        <v>9</v>
      </c>
      <c r="B22" s="375" t="s">
        <v>2</v>
      </c>
      <c r="C22" s="376"/>
      <c r="D22" s="28"/>
      <c r="E22" s="333"/>
      <c r="F22" s="320"/>
      <c r="G22" s="320"/>
      <c r="H22" s="320"/>
      <c r="I22" s="219">
        <f t="shared" si="25"/>
        <v>9</v>
      </c>
      <c r="J22" s="3"/>
      <c r="K22" s="3"/>
      <c r="L22" s="193"/>
      <c r="M22" s="193"/>
      <c r="N22" s="193"/>
      <c r="O22" s="193"/>
      <c r="P22" s="193"/>
      <c r="Q22" s="25"/>
      <c r="R22" s="25"/>
      <c r="S22" s="25"/>
      <c r="T22" s="25"/>
      <c r="U22" s="25"/>
      <c r="V22" s="25"/>
      <c r="W22" s="25"/>
      <c r="X22" s="25"/>
      <c r="Y22" s="248">
        <f t="shared" si="3"/>
        <v>9</v>
      </c>
      <c r="Z22" s="373" t="s">
        <v>80</v>
      </c>
      <c r="AB22" s="29">
        <f>-AB21</f>
        <v>0</v>
      </c>
      <c r="AC22" s="509">
        <f>-AC21</f>
        <v>12916465.693796374</v>
      </c>
      <c r="AD22" s="509">
        <f t="shared" ref="AD22:AF22" si="86">-AD21</f>
        <v>12916465.693796374</v>
      </c>
      <c r="AE22" s="509">
        <f t="shared" si="86"/>
        <v>12733761.375626372</v>
      </c>
      <c r="AF22" s="509">
        <f t="shared" si="86"/>
        <v>-182704.31817000164</v>
      </c>
      <c r="AG22" s="370">
        <f t="shared" si="4"/>
        <v>10</v>
      </c>
      <c r="AH22" s="379" t="s">
        <v>259</v>
      </c>
      <c r="AJ22" s="333">
        <v>41329081.230000004</v>
      </c>
      <c r="AK22" s="413">
        <v>0</v>
      </c>
      <c r="AL22" s="333">
        <f t="shared" si="5"/>
        <v>-41329081.230000004</v>
      </c>
      <c r="AM22" s="413">
        <f t="shared" si="6"/>
        <v>0</v>
      </c>
      <c r="AN22" s="413">
        <f t="shared" si="7"/>
        <v>0</v>
      </c>
      <c r="AO22" s="387"/>
      <c r="AW22" s="8"/>
      <c r="AX22" s="8"/>
      <c r="AY22" s="8"/>
      <c r="AZ22" s="503"/>
      <c r="BA22" s="504"/>
      <c r="BB22" s="505"/>
      <c r="BC22" s="504"/>
      <c r="BD22" s="504"/>
      <c r="BE22" s="510"/>
      <c r="BF22" s="219">
        <f t="shared" si="9"/>
        <v>9</v>
      </c>
      <c r="BG22" s="417" t="s">
        <v>128</v>
      </c>
      <c r="BH22" s="321"/>
      <c r="BI22" s="226">
        <v>0</v>
      </c>
      <c r="BJ22" s="226">
        <v>0</v>
      </c>
      <c r="BK22" s="226">
        <v>0</v>
      </c>
      <c r="BL22" s="226">
        <v>0</v>
      </c>
      <c r="BM22" s="226">
        <v>0</v>
      </c>
      <c r="BN22" s="387"/>
      <c r="BV22" s="219">
        <f t="shared" si="10"/>
        <v>9</v>
      </c>
      <c r="BW22" s="321" t="s">
        <v>80</v>
      </c>
      <c r="BX22" s="321"/>
      <c r="BY22" s="335">
        <f>-BY18-BY20</f>
        <v>-48043.582590232916</v>
      </c>
      <c r="BZ22" s="335">
        <f>-BZ18-BZ20</f>
        <v>-44212.557970290552</v>
      </c>
      <c r="CA22" s="335">
        <f>-CA18-CA20</f>
        <v>3831.0246199423614</v>
      </c>
      <c r="CB22" s="335">
        <f>-CB18-CB20</f>
        <v>-48043.582590232916</v>
      </c>
      <c r="CC22" s="335">
        <f>-CC18-CC20</f>
        <v>-3831.0246199423614</v>
      </c>
      <c r="CL22" s="219"/>
      <c r="CM22" s="337"/>
      <c r="CN22" s="337"/>
      <c r="DB22" s="387"/>
      <c r="DJ22" s="219">
        <f t="shared" si="14"/>
        <v>9</v>
      </c>
      <c r="DK22" s="406" t="s">
        <v>128</v>
      </c>
      <c r="DL22" s="321"/>
      <c r="DM22" s="50">
        <v>0</v>
      </c>
      <c r="DN22" s="50">
        <v>0</v>
      </c>
      <c r="DO22" s="440">
        <f t="shared" si="15"/>
        <v>0</v>
      </c>
      <c r="DP22" s="50">
        <v>0</v>
      </c>
      <c r="DQ22" s="50">
        <f t="shared" si="16"/>
        <v>0</v>
      </c>
      <c r="DR22" s="219">
        <f t="shared" si="17"/>
        <v>9</v>
      </c>
      <c r="DS22" s="5"/>
      <c r="DT22" s="481"/>
      <c r="DU22" s="511"/>
      <c r="DV22" s="511"/>
      <c r="DW22" s="511"/>
      <c r="DX22" s="511"/>
      <c r="DY22" s="511"/>
      <c r="DZ22" s="248">
        <v>9</v>
      </c>
      <c r="EA22" s="319"/>
      <c r="EG22" s="320"/>
      <c r="EH22" s="248"/>
      <c r="EK22" s="20"/>
      <c r="EL22" s="20"/>
      <c r="EM22" s="20"/>
      <c r="EN22" s="20"/>
      <c r="EO22" s="20"/>
      <c r="EP22" s="8">
        <f t="shared" si="31"/>
        <v>9</v>
      </c>
      <c r="EQ22" s="337"/>
      <c r="ER22" s="8"/>
      <c r="ES22" s="1"/>
      <c r="ET22" s="1"/>
      <c r="EU22" s="1"/>
      <c r="EV22" s="1"/>
      <c r="EW22" s="1"/>
      <c r="EX22" s="219"/>
      <c r="EY22" s="3"/>
      <c r="EZ22" s="3"/>
      <c r="FA22" s="3"/>
      <c r="FB22" s="3"/>
      <c r="FC22" s="3"/>
      <c r="FD22" s="3"/>
      <c r="FE22" s="49"/>
      <c r="FH22" s="373"/>
      <c r="FI22" s="373"/>
      <c r="FJ22" s="373"/>
      <c r="FN22" s="248">
        <f t="shared" si="37"/>
        <v>9</v>
      </c>
      <c r="FO22" s="446" t="s">
        <v>356</v>
      </c>
      <c r="FP22" s="321"/>
      <c r="FQ22" s="333"/>
      <c r="FR22" s="333"/>
      <c r="FS22" s="333">
        <v>0</v>
      </c>
      <c r="FT22" s="333">
        <v>-953947.484955917</v>
      </c>
      <c r="FU22" s="333">
        <f>+FT22-FS22</f>
        <v>-953947.484955917</v>
      </c>
      <c r="FV22" s="219">
        <v>9</v>
      </c>
      <c r="FW22" s="7" t="s">
        <v>343</v>
      </c>
      <c r="FX22" s="426"/>
      <c r="FY22" s="226">
        <v>0</v>
      </c>
      <c r="FZ22" s="226">
        <v>0</v>
      </c>
      <c r="GA22" s="226">
        <f t="shared" si="62"/>
        <v>0</v>
      </c>
      <c r="GB22" s="226">
        <v>0</v>
      </c>
      <c r="GC22" s="226">
        <f t="shared" si="38"/>
        <v>0</v>
      </c>
      <c r="GD22" s="402">
        <f t="shared" si="39"/>
        <v>9</v>
      </c>
      <c r="GE22" s="446" t="s">
        <v>380</v>
      </c>
      <c r="GF22" s="446"/>
      <c r="GG22" s="333">
        <v>0</v>
      </c>
      <c r="GH22" s="333">
        <v>0</v>
      </c>
      <c r="GI22" s="333">
        <v>0</v>
      </c>
      <c r="GJ22" s="333">
        <v>11657224.974555036</v>
      </c>
      <c r="GK22" s="333">
        <f t="shared" si="40"/>
        <v>11657224.974555036</v>
      </c>
      <c r="GL22" s="8"/>
      <c r="GN22" s="3"/>
      <c r="GO22" s="3"/>
      <c r="GP22" s="3"/>
      <c r="GQ22" s="3"/>
      <c r="GR22" s="3"/>
      <c r="GS22" s="3"/>
      <c r="GT22" s="248">
        <v>9</v>
      </c>
      <c r="GU22" s="249" t="s">
        <v>372</v>
      </c>
      <c r="GV22" s="512">
        <f>FIT_GAS</f>
        <v>0.21</v>
      </c>
      <c r="GW22" s="233" t="s">
        <v>373</v>
      </c>
      <c r="GX22" s="233" t="s">
        <v>373</v>
      </c>
      <c r="GY22" s="233" t="s">
        <v>373</v>
      </c>
      <c r="GZ22" s="233" t="s">
        <v>373</v>
      </c>
      <c r="HA22" s="233" t="s">
        <v>373</v>
      </c>
      <c r="HB22" s="219">
        <v>9</v>
      </c>
      <c r="HC22" s="406" t="s">
        <v>363</v>
      </c>
      <c r="HD22" s="406"/>
      <c r="HE22" s="227">
        <f t="shared" ref="HE22:HF22" si="87">SUM(HE21)</f>
        <v>0</v>
      </c>
      <c r="HF22" s="227">
        <f t="shared" si="87"/>
        <v>0</v>
      </c>
      <c r="HG22" s="227">
        <f>SUM(HG21)</f>
        <v>0</v>
      </c>
      <c r="HH22" s="227">
        <f t="shared" ref="HH22" si="88">SUM(HH21)</f>
        <v>162101.82341541813</v>
      </c>
      <c r="HI22" s="330">
        <f>SUM(HI21)</f>
        <v>162101.82341541813</v>
      </c>
      <c r="HJ22" s="8">
        <f t="shared" si="44"/>
        <v>9</v>
      </c>
      <c r="HK22" s="478" t="s">
        <v>88</v>
      </c>
      <c r="HM22" s="231">
        <f>-HM19-HM21</f>
        <v>-18651147.34412555</v>
      </c>
      <c r="HN22" s="231">
        <f t="shared" ref="HN22:HQ22" si="89">-HN19-HN21</f>
        <v>-18651147.34412555</v>
      </c>
      <c r="HO22" s="231">
        <f t="shared" si="89"/>
        <v>0</v>
      </c>
      <c r="HP22" s="231">
        <f t="shared" si="89"/>
        <v>-18954964.711965621</v>
      </c>
      <c r="HQ22" s="231">
        <f t="shared" si="89"/>
        <v>-303817.36784007057</v>
      </c>
      <c r="HR22" s="219">
        <f t="shared" si="45"/>
        <v>9</v>
      </c>
      <c r="HS22" s="3"/>
      <c r="HT22" s="3"/>
      <c r="HU22" s="3"/>
      <c r="HV22" s="3"/>
      <c r="HW22" s="3"/>
      <c r="HX22" s="3"/>
      <c r="HY22" s="3"/>
    </row>
    <row r="23" spans="1:241" ht="16.5" customHeight="1" thickTop="1" thickBot="1" x14ac:dyDescent="0.35">
      <c r="A23" s="370">
        <f t="shared" si="0"/>
        <v>10</v>
      </c>
      <c r="B23" s="405" t="s">
        <v>445</v>
      </c>
      <c r="C23" s="406"/>
      <c r="D23" s="674" t="s">
        <v>455</v>
      </c>
      <c r="E23" s="513"/>
      <c r="F23" s="320">
        <v>48508.420000000006</v>
      </c>
      <c r="G23" s="676" t="s">
        <v>455</v>
      </c>
      <c r="H23" s="320">
        <v>8284.9599999986021</v>
      </c>
      <c r="I23" s="219">
        <f t="shared" si="25"/>
        <v>10</v>
      </c>
      <c r="J23" s="3"/>
      <c r="K23" s="3"/>
      <c r="L23" s="3"/>
      <c r="M23" s="3"/>
      <c r="N23" s="3"/>
      <c r="O23" s="3"/>
      <c r="P23" s="3"/>
      <c r="Y23" s="248"/>
      <c r="Z23" s="373"/>
      <c r="AG23" s="370">
        <f t="shared" si="4"/>
        <v>11</v>
      </c>
      <c r="AH23" s="514" t="s">
        <v>407</v>
      </c>
      <c r="AJ23" s="320">
        <v>242193.71000000005</v>
      </c>
      <c r="AK23" s="413"/>
      <c r="AL23" s="333">
        <f t="shared" si="5"/>
        <v>-242193.71000000005</v>
      </c>
      <c r="AM23" s="413">
        <f t="shared" si="6"/>
        <v>0</v>
      </c>
      <c r="AN23" s="413">
        <f t="shared" si="7"/>
        <v>0</v>
      </c>
      <c r="AO23" s="387"/>
      <c r="AW23" s="8"/>
      <c r="AX23" s="8"/>
      <c r="AY23" s="8"/>
      <c r="AZ23" s="489"/>
      <c r="BA23" s="504"/>
      <c r="BB23" s="515"/>
      <c r="BC23" s="504"/>
      <c r="BD23" s="504"/>
      <c r="BE23" s="516"/>
      <c r="BF23" s="219">
        <f t="shared" si="9"/>
        <v>10</v>
      </c>
      <c r="BG23" s="417" t="s">
        <v>129</v>
      </c>
      <c r="BI23" s="234">
        <v>1051189.7681332757</v>
      </c>
      <c r="BJ23" s="234">
        <v>1103125.4735233695</v>
      </c>
      <c r="BK23" s="234">
        <v>51935.705390093848</v>
      </c>
      <c r="BL23" s="234">
        <v>1103125.4735233695</v>
      </c>
      <c r="BM23" s="234">
        <v>0</v>
      </c>
      <c r="BN23" s="387"/>
      <c r="BV23" s="387"/>
      <c r="BW23" s="249"/>
      <c r="CL23" s="219"/>
      <c r="CM23" s="337"/>
      <c r="CN23" s="337"/>
      <c r="DB23" s="387"/>
      <c r="DJ23" s="219">
        <f t="shared" si="14"/>
        <v>10</v>
      </c>
      <c r="DK23" s="406" t="s">
        <v>129</v>
      </c>
      <c r="DL23" s="3"/>
      <c r="DM23" s="419">
        <v>14431674.188193813</v>
      </c>
      <c r="DN23" s="419">
        <v>14448286.588557353</v>
      </c>
      <c r="DO23" s="517">
        <f t="shared" si="15"/>
        <v>16612.400363540277</v>
      </c>
      <c r="DP23" s="419">
        <v>15001205.100258833</v>
      </c>
      <c r="DQ23" s="419">
        <f t="shared" si="16"/>
        <v>552918.51170147955</v>
      </c>
      <c r="DR23" s="219">
        <f t="shared" si="17"/>
        <v>10</v>
      </c>
      <c r="DS23" s="518" t="s">
        <v>54</v>
      </c>
      <c r="DT23" s="519"/>
      <c r="DU23" s="46"/>
      <c r="DV23" s="46"/>
      <c r="DW23" s="46"/>
      <c r="DX23" s="46"/>
      <c r="DY23" s="46"/>
      <c r="DZ23" s="248">
        <v>10</v>
      </c>
      <c r="EA23" s="249" t="s">
        <v>97</v>
      </c>
      <c r="EB23" s="464">
        <f>FIT_GAS</f>
        <v>0.21</v>
      </c>
      <c r="EC23" s="443">
        <f>-EC21*$EB$23</f>
        <v>2993.8940277558377</v>
      </c>
      <c r="ED23" s="443">
        <f>-ED21*$EB$23</f>
        <v>164.12020819553175</v>
      </c>
      <c r="EE23" s="443">
        <f t="shared" ref="EE23:EF23" si="90">-EE21*$EB$23</f>
        <v>-2829.7738195601578</v>
      </c>
      <c r="EF23" s="443">
        <f t="shared" si="90"/>
        <v>-81850.624882837321</v>
      </c>
      <c r="EG23" s="443">
        <f>-EG21*$EB$23</f>
        <v>-82014.745091032804</v>
      </c>
      <c r="EH23" s="248"/>
      <c r="EK23" s="20"/>
      <c r="EL23" s="20"/>
      <c r="EM23" s="20"/>
      <c r="EN23" s="20"/>
      <c r="EO23" s="20"/>
      <c r="EP23" s="8">
        <f t="shared" si="31"/>
        <v>10</v>
      </c>
      <c r="EQ23" s="520" t="s">
        <v>81</v>
      </c>
      <c r="ER23" s="8"/>
      <c r="ES23" s="1">
        <f>ES21</f>
        <v>143075300.43646103</v>
      </c>
      <c r="ET23" s="1">
        <f>ET21</f>
        <v>155402272.09059581</v>
      </c>
      <c r="EU23" s="1">
        <f>EU21</f>
        <v>12326971.654134724</v>
      </c>
      <c r="EV23" s="1">
        <f>EV21</f>
        <v>155402272.09059581</v>
      </c>
      <c r="EW23" s="1">
        <f>EW21</f>
        <v>0</v>
      </c>
      <c r="EX23" s="219"/>
      <c r="EY23" s="3"/>
      <c r="EZ23" s="3"/>
      <c r="FA23" s="3"/>
      <c r="FB23" s="3"/>
      <c r="FC23" s="3"/>
      <c r="FD23" s="3"/>
      <c r="FE23" s="3"/>
      <c r="FH23" s="444"/>
      <c r="FI23" s="444"/>
      <c r="FJ23" s="444"/>
      <c r="FN23" s="248">
        <f t="shared" si="37"/>
        <v>10</v>
      </c>
      <c r="FO23" s="446" t="s">
        <v>357</v>
      </c>
      <c r="FP23" s="321"/>
      <c r="FQ23" s="333"/>
      <c r="FR23" s="333"/>
      <c r="FS23" s="333">
        <v>0</v>
      </c>
      <c r="FT23" s="333">
        <v>-1001644.8592037127</v>
      </c>
      <c r="FU23" s="333">
        <f>+FT23-FS23</f>
        <v>-1001644.8592037127</v>
      </c>
      <c r="FV23" s="219">
        <v>10</v>
      </c>
      <c r="FW23" s="3" t="s">
        <v>410</v>
      </c>
      <c r="FX23" s="426"/>
      <c r="FY23" s="226"/>
      <c r="FZ23" s="226"/>
      <c r="GA23" s="226"/>
      <c r="GB23" s="226"/>
      <c r="GC23" s="226"/>
      <c r="GD23" s="402">
        <f t="shared" si="39"/>
        <v>10</v>
      </c>
      <c r="GE23" s="446" t="s">
        <v>381</v>
      </c>
      <c r="GF23" s="446"/>
      <c r="GG23" s="333">
        <v>0</v>
      </c>
      <c r="GH23" s="333">
        <v>0</v>
      </c>
      <c r="GI23" s="333">
        <v>0</v>
      </c>
      <c r="GJ23" s="333">
        <v>-1942870.8290925061</v>
      </c>
      <c r="GK23" s="333">
        <f t="shared" si="40"/>
        <v>-1942870.8290925061</v>
      </c>
      <c r="GN23" s="3"/>
      <c r="GO23" s="3"/>
      <c r="GP23" s="3"/>
      <c r="GQ23" s="3"/>
      <c r="GR23" s="3"/>
      <c r="GS23" s="3"/>
      <c r="GT23" s="248">
        <v>10</v>
      </c>
      <c r="GU23" s="337" t="s">
        <v>80</v>
      </c>
      <c r="GV23" s="337"/>
      <c r="GW23" s="447">
        <f t="shared" ref="GW23:GZ23" si="91">-GW20</f>
        <v>0</v>
      </c>
      <c r="GX23" s="447">
        <f t="shared" si="91"/>
        <v>0</v>
      </c>
      <c r="GY23" s="447">
        <f t="shared" si="91"/>
        <v>0</v>
      </c>
      <c r="GZ23" s="447">
        <f t="shared" si="91"/>
        <v>722630.37767299998</v>
      </c>
      <c r="HA23" s="447">
        <f>-HA20</f>
        <v>722630.37767299998</v>
      </c>
      <c r="HB23" s="219">
        <v>10</v>
      </c>
      <c r="HC23" s="346"/>
      <c r="HD23" s="346"/>
      <c r="HE23" s="31"/>
      <c r="HF23" s="31"/>
      <c r="HG23" s="31"/>
      <c r="HH23" s="31"/>
      <c r="HI23" s="521"/>
      <c r="HR23" s="219">
        <f t="shared" si="45"/>
        <v>10</v>
      </c>
      <c r="HS23" s="3" t="s">
        <v>359</v>
      </c>
      <c r="HT23" s="3"/>
      <c r="HU23" s="3"/>
      <c r="HV23" s="3"/>
      <c r="HW23" s="3"/>
      <c r="HX23" s="3"/>
      <c r="HY23" s="3"/>
    </row>
    <row r="24" spans="1:241" ht="15.6" customHeight="1" thickTop="1" x14ac:dyDescent="0.25">
      <c r="A24" s="370">
        <f t="shared" si="0"/>
        <v>11</v>
      </c>
      <c r="B24" s="405" t="s">
        <v>307</v>
      </c>
      <c r="C24" s="406"/>
      <c r="D24" s="674"/>
      <c r="E24" s="513"/>
      <c r="F24" s="320">
        <v>-6899336.8599999994</v>
      </c>
      <c r="G24" s="676"/>
      <c r="H24" s="320">
        <v>0</v>
      </c>
      <c r="I24" s="219">
        <f t="shared" ref="I24:I32" si="92">I23+1</f>
        <v>11</v>
      </c>
      <c r="J24" s="337" t="s">
        <v>92</v>
      </c>
      <c r="K24" s="522">
        <f>'COC, Def, ConvF'!$M$12</f>
        <v>5.1240000000000001E-3</v>
      </c>
      <c r="L24" s="50">
        <f t="shared" ref="L24:M26" si="93">L$19*$K24</f>
        <v>27339.826348921706</v>
      </c>
      <c r="M24" s="50">
        <f t="shared" si="93"/>
        <v>27707.75695745222</v>
      </c>
      <c r="N24" s="50">
        <f>M24-L24</f>
        <v>367.93060853051429</v>
      </c>
      <c r="O24" s="50">
        <v>194320.88307710079</v>
      </c>
      <c r="P24" s="50">
        <f>O24-M24</f>
        <v>166613.12611964857</v>
      </c>
      <c r="Y24" s="248"/>
      <c r="Z24" s="523"/>
      <c r="AA24" s="524"/>
      <c r="AG24" s="370">
        <f t="shared" si="4"/>
        <v>12</v>
      </c>
      <c r="AH24" s="514" t="s">
        <v>260</v>
      </c>
      <c r="AJ24" s="320">
        <v>308145.35000000003</v>
      </c>
      <c r="AK24" s="413">
        <v>0</v>
      </c>
      <c r="AL24" s="320">
        <f t="shared" si="5"/>
        <v>-308145.35000000003</v>
      </c>
      <c r="AM24" s="413">
        <f t="shared" si="6"/>
        <v>0</v>
      </c>
      <c r="AN24" s="413">
        <f t="shared" si="7"/>
        <v>0</v>
      </c>
      <c r="AO24" s="387"/>
      <c r="AW24" s="8"/>
      <c r="AX24" s="8"/>
      <c r="AY24" s="8"/>
      <c r="AZ24" s="504"/>
      <c r="BA24" s="504"/>
      <c r="BB24" s="515"/>
      <c r="BC24" s="504"/>
      <c r="BD24" s="504"/>
      <c r="BE24" s="516"/>
      <c r="BF24" s="219">
        <f t="shared" si="9"/>
        <v>11</v>
      </c>
      <c r="BG24" s="319" t="s">
        <v>169</v>
      </c>
      <c r="BH24" s="319"/>
      <c r="BI24" s="224">
        <f>SUM(BI14:BI23)</f>
        <v>3814740.0498376964</v>
      </c>
      <c r="BJ24" s="224">
        <f t="shared" ref="BJ24:BM24" si="94">SUM(BJ14:BJ23)</f>
        <v>4032317.7230348806</v>
      </c>
      <c r="BK24" s="224">
        <f t="shared" si="94"/>
        <v>217577.67319718417</v>
      </c>
      <c r="BL24" s="224">
        <f t="shared" si="94"/>
        <v>4032317.7230348806</v>
      </c>
      <c r="BM24" s="224">
        <f t="shared" si="94"/>
        <v>0</v>
      </c>
      <c r="BN24" s="387"/>
      <c r="BV24" s="387"/>
      <c r="BW24" s="337"/>
      <c r="CL24" s="219"/>
      <c r="CM24" s="337"/>
      <c r="CN24" s="337"/>
      <c r="DB24" s="387"/>
      <c r="DJ24" s="219">
        <f t="shared" si="14"/>
        <v>11</v>
      </c>
      <c r="DK24" s="321" t="s">
        <v>144</v>
      </c>
      <c r="DL24" s="321"/>
      <c r="DM24" s="50">
        <f>SUM(DM15:DM23)</f>
        <v>52372190.767207436</v>
      </c>
      <c r="DN24" s="50">
        <f>SUM(DN15:DN23)</f>
        <v>52811395.507625379</v>
      </c>
      <c r="DO24" s="50">
        <f>SUM(DO15:DO23)</f>
        <v>439204.7404179406</v>
      </c>
      <c r="DP24" s="50">
        <f>SUM(DP15:DP23)</f>
        <v>55131241.030921519</v>
      </c>
      <c r="DQ24" s="50">
        <f>SUM(DQ15:DQ23)</f>
        <v>2319845.5232961415</v>
      </c>
      <c r="DR24" s="219">
        <f t="shared" si="17"/>
        <v>11</v>
      </c>
      <c r="DS24" s="525" t="s">
        <v>304</v>
      </c>
      <c r="DT24" s="219"/>
      <c r="DU24" s="526">
        <f>+DU21+DU18+DU15</f>
        <v>6192243.8514</v>
      </c>
      <c r="DV24" s="386">
        <f>+DV21+DV18+DV15</f>
        <v>6202853.0333549995</v>
      </c>
      <c r="DW24" s="386">
        <f>+DW21+DW18+DW15</f>
        <v>10609.181954999978</v>
      </c>
      <c r="DX24" s="386">
        <f>+DX21+DX18+DX15</f>
        <v>6437938.9348508557</v>
      </c>
      <c r="DY24" s="386">
        <f>+DX24-DV24</f>
        <v>235085.90149585623</v>
      </c>
      <c r="DZ24" s="248">
        <v>11</v>
      </c>
      <c r="EA24" s="249"/>
      <c r="EC24" s="193"/>
      <c r="ED24" s="193"/>
      <c r="EE24" s="193"/>
      <c r="EF24" s="193"/>
      <c r="EG24" s="193"/>
      <c r="EH24" s="248"/>
      <c r="EK24" s="20"/>
      <c r="EL24" s="20"/>
      <c r="EM24" s="20"/>
      <c r="EN24" s="20"/>
      <c r="EO24" s="20"/>
      <c r="EP24" s="8">
        <f t="shared" si="31"/>
        <v>11</v>
      </c>
      <c r="EQ24" s="520"/>
      <c r="ER24" s="8"/>
      <c r="ES24" s="1"/>
      <c r="ET24" s="1"/>
      <c r="EU24" s="1"/>
      <c r="EV24" s="1"/>
      <c r="EW24" s="1"/>
      <c r="EX24" s="219"/>
      <c r="EY24" s="3"/>
      <c r="EZ24" s="3"/>
      <c r="FA24" s="3"/>
      <c r="FB24" s="3"/>
      <c r="FC24" s="3"/>
      <c r="FD24" s="3"/>
      <c r="FE24" s="3"/>
      <c r="FN24" s="248">
        <f t="shared" si="37"/>
        <v>11</v>
      </c>
      <c r="FO24" s="446" t="s">
        <v>461</v>
      </c>
      <c r="FP24" s="321"/>
      <c r="FQ24" s="330">
        <f>SUM(FQ21:FQ23)</f>
        <v>0</v>
      </c>
      <c r="FR24" s="330">
        <f t="shared" ref="FR24:FU24" si="95">SUM(FR21:FR23)</f>
        <v>0</v>
      </c>
      <c r="FS24" s="330">
        <f t="shared" si="95"/>
        <v>0</v>
      </c>
      <c r="FT24" s="330">
        <f t="shared" si="95"/>
        <v>3768092.5655758721</v>
      </c>
      <c r="FU24" s="330">
        <f t="shared" si="95"/>
        <v>3768092.5655758721</v>
      </c>
      <c r="FV24" s="219">
        <v>11</v>
      </c>
      <c r="FW24" s="194" t="s">
        <v>411</v>
      </c>
      <c r="FX24" s="426"/>
      <c r="FY24" s="226">
        <v>0</v>
      </c>
      <c r="FZ24" s="226">
        <v>0</v>
      </c>
      <c r="GA24" s="226">
        <f t="shared" ref="GA24" si="96">FZ24-FY24</f>
        <v>0</v>
      </c>
      <c r="GB24" s="226">
        <v>0</v>
      </c>
      <c r="GC24" s="226">
        <f t="shared" si="38"/>
        <v>0</v>
      </c>
      <c r="GD24" s="402">
        <f t="shared" si="39"/>
        <v>11</v>
      </c>
      <c r="GE24" s="446" t="s">
        <v>382</v>
      </c>
      <c r="GF24" s="446"/>
      <c r="GG24" s="333">
        <v>0</v>
      </c>
      <c r="GH24" s="333">
        <v>0</v>
      </c>
      <c r="GI24" s="333">
        <v>0</v>
      </c>
      <c r="GJ24" s="333">
        <v>-2040014.3705471321</v>
      </c>
      <c r="GK24" s="333">
        <f t="shared" si="40"/>
        <v>-2040014.3705471321</v>
      </c>
      <c r="GN24" s="3"/>
      <c r="GO24" s="3"/>
      <c r="GP24" s="3"/>
      <c r="GQ24" s="3"/>
      <c r="GR24" s="3"/>
      <c r="GS24" s="3"/>
      <c r="HB24" s="219">
        <v>11</v>
      </c>
      <c r="HC24" s="325" t="s">
        <v>290</v>
      </c>
      <c r="HD24" s="325"/>
      <c r="HE24" s="1">
        <f t="shared" ref="HE24:HH24" si="97">HE22</f>
        <v>0</v>
      </c>
      <c r="HF24" s="1">
        <f t="shared" si="97"/>
        <v>0</v>
      </c>
      <c r="HG24" s="1">
        <f t="shared" si="97"/>
        <v>0</v>
      </c>
      <c r="HH24" s="1">
        <f t="shared" si="97"/>
        <v>162101.82341541813</v>
      </c>
      <c r="HI24" s="1">
        <f>HI22</f>
        <v>162101.82341541813</v>
      </c>
      <c r="HR24" s="219">
        <f t="shared" si="45"/>
        <v>11</v>
      </c>
      <c r="HS24" s="3" t="s">
        <v>492</v>
      </c>
      <c r="HT24" s="3"/>
      <c r="HU24" s="49">
        <v>0</v>
      </c>
      <c r="HV24" s="49">
        <v>0</v>
      </c>
      <c r="HW24" s="49">
        <v>0</v>
      </c>
      <c r="HX24" s="49">
        <v>366871.7399634</v>
      </c>
      <c r="HY24" s="49">
        <v>366871.7399634</v>
      </c>
    </row>
    <row r="25" spans="1:241" ht="14.4" thickBot="1" x14ac:dyDescent="0.3">
      <c r="A25" s="370">
        <f t="shared" si="0"/>
        <v>12</v>
      </c>
      <c r="B25" s="405" t="s">
        <v>389</v>
      </c>
      <c r="C25" s="406"/>
      <c r="D25" s="674"/>
      <c r="E25" s="513"/>
      <c r="F25" s="320">
        <v>0</v>
      </c>
      <c r="G25" s="676"/>
      <c r="H25" s="320">
        <v>-6115339.9499999993</v>
      </c>
      <c r="I25" s="219">
        <f t="shared" si="92"/>
        <v>12</v>
      </c>
      <c r="J25" s="337" t="s">
        <v>93</v>
      </c>
      <c r="K25" s="522">
        <f>'COC, Def, ConvF'!$M$13</f>
        <v>2E-3</v>
      </c>
      <c r="L25" s="50">
        <f t="shared" si="93"/>
        <v>10671.282727916356</v>
      </c>
      <c r="M25" s="50">
        <f t="shared" si="93"/>
        <v>10814.8934260157</v>
      </c>
      <c r="N25" s="50">
        <f t="shared" ref="N25:N26" si="98">M25-L25</f>
        <v>143.61069809934452</v>
      </c>
      <c r="O25" s="50">
        <v>75847.339218228255</v>
      </c>
      <c r="P25" s="50">
        <f t="shared" ref="P25:P26" si="99">O25-M25</f>
        <v>65032.445792212558</v>
      </c>
      <c r="AG25" s="370">
        <f t="shared" si="4"/>
        <v>13</v>
      </c>
      <c r="AH25" s="527" t="s">
        <v>261</v>
      </c>
      <c r="AI25" s="379"/>
      <c r="AJ25" s="330">
        <f>SUM(AJ14:AJ24)</f>
        <v>62412272.779581435</v>
      </c>
      <c r="AK25" s="528">
        <f>SUM(AK14:AK24)</f>
        <v>0</v>
      </c>
      <c r="AL25" s="330">
        <f>SUM(AL14:AL24)</f>
        <v>-62412272.779581435</v>
      </c>
      <c r="AM25" s="528">
        <f>SUM(AM14:AM24)</f>
        <v>0</v>
      </c>
      <c r="AN25" s="528">
        <f>SUM(AN14:AN24)</f>
        <v>0</v>
      </c>
      <c r="AO25" s="387"/>
      <c r="AW25" s="8"/>
      <c r="AX25" s="8"/>
      <c r="AY25" s="8"/>
      <c r="AZ25" s="489"/>
      <c r="BA25" s="504"/>
      <c r="BB25" s="504"/>
      <c r="BC25" s="504"/>
      <c r="BD25" s="504"/>
      <c r="BF25" s="219">
        <f t="shared" si="9"/>
        <v>12</v>
      </c>
      <c r="BG25" s="5"/>
      <c r="BH25" s="5"/>
      <c r="BI25" s="224"/>
      <c r="BJ25" s="224"/>
      <c r="BK25" s="224"/>
      <c r="BL25" s="224"/>
      <c r="BM25" s="224"/>
      <c r="BN25" s="387"/>
      <c r="BV25" s="387"/>
      <c r="BW25" s="337"/>
      <c r="CL25" s="219"/>
      <c r="CM25" s="478"/>
      <c r="CN25" s="478"/>
      <c r="DB25" s="387"/>
      <c r="DJ25" s="219">
        <f t="shared" si="14"/>
        <v>12</v>
      </c>
      <c r="DK25" s="3"/>
      <c r="DL25" s="321"/>
      <c r="DM25" s="50"/>
      <c r="DN25" s="50"/>
      <c r="DO25" s="440"/>
      <c r="DP25" s="49"/>
      <c r="DQ25" s="49"/>
      <c r="DR25" s="219">
        <f t="shared" si="17"/>
        <v>12</v>
      </c>
      <c r="DS25" s="529"/>
      <c r="DT25" s="6"/>
      <c r="DU25" s="193"/>
      <c r="DV25" s="193"/>
      <c r="DW25" s="193"/>
      <c r="DX25" s="193"/>
      <c r="DY25" s="193"/>
      <c r="DZ25" s="248">
        <v>12</v>
      </c>
      <c r="EA25" s="337" t="s">
        <v>80</v>
      </c>
      <c r="EC25" s="496">
        <f>-EC21-EC23</f>
        <v>11262.744199652914</v>
      </c>
      <c r="ED25" s="496">
        <f t="shared" ref="ED25:EF25" si="100">-ED21-ED23</f>
        <v>617.40459273557178</v>
      </c>
      <c r="EE25" s="496">
        <f t="shared" si="100"/>
        <v>-10645.339606916785</v>
      </c>
      <c r="EF25" s="496">
        <f t="shared" si="100"/>
        <v>-307914.25551162614</v>
      </c>
      <c r="EG25" s="496">
        <f>-EG21-EG23</f>
        <v>-308531.66010436148</v>
      </c>
      <c r="EH25" s="248"/>
      <c r="EK25" s="20"/>
      <c r="EL25" s="20"/>
      <c r="EM25" s="20"/>
      <c r="EN25" s="20"/>
      <c r="EO25" s="20"/>
      <c r="EP25" s="8">
        <f t="shared" si="31"/>
        <v>12</v>
      </c>
      <c r="EQ25" s="520" t="s">
        <v>84</v>
      </c>
      <c r="ER25" s="464">
        <f>FIT_GAS</f>
        <v>0.21</v>
      </c>
      <c r="ES25" s="1">
        <f>-ES23*$ER$25</f>
        <v>-30045813.091656815</v>
      </c>
      <c r="ET25" s="1">
        <f>-ET23*$ER$25</f>
        <v>-32634477.139025118</v>
      </c>
      <c r="EU25" s="1">
        <f>-EU23*$ER$25</f>
        <v>-2588664.0473682922</v>
      </c>
      <c r="EV25" s="1">
        <f>-EV23*$ER$25</f>
        <v>-32634477.139025118</v>
      </c>
      <c r="EW25" s="1">
        <f>-EW23*$ER$25</f>
        <v>0</v>
      </c>
      <c r="EX25" s="219"/>
      <c r="EY25" s="3"/>
      <c r="EZ25" s="3"/>
      <c r="FA25" s="3"/>
      <c r="FB25" s="3"/>
      <c r="FC25" s="3"/>
      <c r="FD25" s="3"/>
      <c r="FE25" s="3"/>
      <c r="FN25" s="248">
        <f t="shared" si="37"/>
        <v>12</v>
      </c>
      <c r="FO25" s="446" t="s">
        <v>462</v>
      </c>
      <c r="FP25" s="321"/>
      <c r="FQ25" s="330"/>
      <c r="FR25" s="330"/>
      <c r="FS25" s="330"/>
      <c r="FT25" s="330"/>
      <c r="FU25" s="330"/>
      <c r="FV25" s="219">
        <v>12</v>
      </c>
      <c r="FW25" s="194" t="s">
        <v>412</v>
      </c>
      <c r="FX25" s="426"/>
      <c r="FY25" s="226">
        <v>0</v>
      </c>
      <c r="FZ25" s="226">
        <v>0</v>
      </c>
      <c r="GA25" s="226">
        <f t="shared" ref="GA25:GA27" si="101">FZ25-FY25</f>
        <v>0</v>
      </c>
      <c r="GB25" s="226">
        <v>0</v>
      </c>
      <c r="GC25" s="226">
        <f t="shared" si="38"/>
        <v>0</v>
      </c>
      <c r="GD25" s="402">
        <f>+GD24+1</f>
        <v>12</v>
      </c>
      <c r="GE25" s="406" t="s">
        <v>383</v>
      </c>
      <c r="GF25" s="446"/>
      <c r="GG25" s="330">
        <f>SUM(GG22:GG24)</f>
        <v>0</v>
      </c>
      <c r="GH25" s="330">
        <f t="shared" ref="GH25:GK25" si="102">SUM(GH22:GH24)</f>
        <v>0</v>
      </c>
      <c r="GI25" s="330">
        <f t="shared" si="102"/>
        <v>0</v>
      </c>
      <c r="GJ25" s="330">
        <f t="shared" si="102"/>
        <v>7674339.7749153972</v>
      </c>
      <c r="GK25" s="330">
        <f t="shared" si="102"/>
        <v>7674339.7749153972</v>
      </c>
      <c r="GN25" s="3"/>
      <c r="GO25" s="3"/>
      <c r="GP25" s="3"/>
      <c r="GQ25" s="3"/>
      <c r="GR25" s="3"/>
      <c r="GS25" s="3"/>
      <c r="HB25" s="219">
        <v>12</v>
      </c>
      <c r="HC25" s="325"/>
      <c r="HD25" s="325"/>
      <c r="HE25" s="20"/>
      <c r="HF25" s="20"/>
      <c r="HG25" s="20"/>
      <c r="HH25" s="20"/>
      <c r="HI25" s="333"/>
      <c r="HR25" s="219">
        <f t="shared" si="45"/>
        <v>12</v>
      </c>
      <c r="HS25" s="3" t="s">
        <v>363</v>
      </c>
      <c r="HT25" s="3"/>
      <c r="HU25" s="229">
        <f>SUM(HU24:HU24)</f>
        <v>0</v>
      </c>
      <c r="HV25" s="229">
        <f>SUM(HV24:HV24)</f>
        <v>0</v>
      </c>
      <c r="HW25" s="229">
        <f>SUM(HW24:HW24)</f>
        <v>0</v>
      </c>
      <c r="HX25" s="229">
        <f>SUM(HX24:HX24)</f>
        <v>366871.7399634</v>
      </c>
      <c r="HY25" s="229">
        <f>SUM(HY24:HY24)</f>
        <v>366871.7399634</v>
      </c>
    </row>
    <row r="26" spans="1:241" ht="15" thickTop="1" thickBot="1" x14ac:dyDescent="0.3">
      <c r="A26" s="370">
        <f t="shared" si="0"/>
        <v>13</v>
      </c>
      <c r="B26" s="484" t="s">
        <v>390</v>
      </c>
      <c r="C26" s="406"/>
      <c r="D26" s="674"/>
      <c r="E26" s="513"/>
      <c r="F26" s="320">
        <v>10523931</v>
      </c>
      <c r="G26" s="676"/>
      <c r="H26" s="320">
        <v>0</v>
      </c>
      <c r="I26" s="219">
        <f t="shared" si="92"/>
        <v>13</v>
      </c>
      <c r="J26" s="337" t="s">
        <v>95</v>
      </c>
      <c r="K26" s="522">
        <f>'COC, Def, ConvF'!$M$14</f>
        <v>3.8323000000000003E-2</v>
      </c>
      <c r="L26" s="50">
        <f t="shared" si="93"/>
        <v>204477.78399096927</v>
      </c>
      <c r="M26" s="50">
        <f t="shared" si="93"/>
        <v>207229.58038259984</v>
      </c>
      <c r="N26" s="50">
        <f t="shared" si="98"/>
        <v>2751.7963916305744</v>
      </c>
      <c r="O26" s="50">
        <v>1453348.7904300808</v>
      </c>
      <c r="P26" s="50">
        <f t="shared" si="99"/>
        <v>1246119.2100474811</v>
      </c>
      <c r="AE26" s="24"/>
      <c r="AG26" s="370">
        <f t="shared" si="4"/>
        <v>14</v>
      </c>
      <c r="AH26" s="527"/>
      <c r="AI26" s="379"/>
      <c r="AJ26" s="379"/>
      <c r="AK26" s="379"/>
      <c r="AL26" s="379"/>
      <c r="AM26" s="379"/>
      <c r="AN26" s="379"/>
      <c r="AO26" s="387"/>
      <c r="AW26" s="8"/>
      <c r="AX26" s="8"/>
      <c r="AY26" s="8"/>
      <c r="AZ26" s="503"/>
      <c r="BA26" s="504"/>
      <c r="BB26" s="504"/>
      <c r="BC26" s="504"/>
      <c r="BD26" s="504"/>
      <c r="BF26" s="219">
        <f t="shared" si="9"/>
        <v>13</v>
      </c>
      <c r="BG26" s="321" t="s">
        <v>170</v>
      </c>
      <c r="BH26" s="321"/>
      <c r="BI26" s="234">
        <v>337604.49441063614</v>
      </c>
      <c r="BJ26" s="234">
        <v>356860.11848858697</v>
      </c>
      <c r="BK26" s="234">
        <v>19255.624077950837</v>
      </c>
      <c r="BL26" s="234">
        <v>356860.11848858697</v>
      </c>
      <c r="BM26" s="234">
        <v>0</v>
      </c>
      <c r="BN26" s="387"/>
      <c r="CL26" s="219"/>
      <c r="CM26" s="478"/>
      <c r="CN26" s="478"/>
      <c r="DB26" s="387"/>
      <c r="DJ26" s="219">
        <f t="shared" si="14"/>
        <v>13</v>
      </c>
      <c r="DK26" s="406" t="s">
        <v>85</v>
      </c>
      <c r="DL26" s="321"/>
      <c r="DM26" s="419">
        <v>3609897.7715194593</v>
      </c>
      <c r="DN26" s="419">
        <f>+DM26+DO26</f>
        <v>3625628.9928652411</v>
      </c>
      <c r="DO26" s="517">
        <v>15731.221345781985</v>
      </c>
      <c r="DP26" s="419">
        <f>+DN26+DQ26</f>
        <v>3723477.2510908842</v>
      </c>
      <c r="DQ26" s="419">
        <v>97848.25822564293</v>
      </c>
      <c r="DR26" s="219">
        <f t="shared" si="17"/>
        <v>13</v>
      </c>
      <c r="DS26" s="525" t="s">
        <v>299</v>
      </c>
      <c r="DT26" s="235">
        <v>0.49997132880489842</v>
      </c>
      <c r="DU26" s="50">
        <f>+DU24*$DT$26</f>
        <v>3095944.3866684199</v>
      </c>
      <c r="DV26" s="50">
        <f t="shared" ref="DV26:DY26" si="103">+DV24*$DT$26</f>
        <v>3101248.6734679942</v>
      </c>
      <c r="DW26" s="50">
        <f t="shared" si="103"/>
        <v>5304.286799574289</v>
      </c>
      <c r="DX26" s="50">
        <f t="shared" si="103"/>
        <v>3218784.8840221749</v>
      </c>
      <c r="DY26" s="49">
        <f t="shared" si="103"/>
        <v>117536.2105541807</v>
      </c>
      <c r="EH26" s="248"/>
      <c r="EK26" s="20"/>
      <c r="EL26" s="20"/>
      <c r="EM26" s="20"/>
      <c r="EN26" s="20"/>
      <c r="EO26" s="20"/>
      <c r="EP26" s="8">
        <f t="shared" si="31"/>
        <v>13</v>
      </c>
      <c r="EQ26" s="520" t="s">
        <v>80</v>
      </c>
      <c r="ER26" s="8"/>
      <c r="ES26" s="231">
        <f>-ES23-ES25</f>
        <v>-113029487.34480421</v>
      </c>
      <c r="ET26" s="231">
        <f>-ET23-ET25</f>
        <v>-122767794.95157069</v>
      </c>
      <c r="EU26" s="231">
        <f>-EU23-EU25</f>
        <v>-9738307.6067664325</v>
      </c>
      <c r="EV26" s="231">
        <f>-EV23-EV25</f>
        <v>-122767794.95157069</v>
      </c>
      <c r="EW26" s="231">
        <f>-EW23-EW25</f>
        <v>0</v>
      </c>
      <c r="EX26" s="219"/>
      <c r="EY26" s="3"/>
      <c r="EZ26" s="3"/>
      <c r="FA26" s="3"/>
      <c r="FB26" s="3"/>
      <c r="FC26" s="3"/>
      <c r="FD26" s="3"/>
      <c r="FE26" s="3"/>
      <c r="FN26" s="248">
        <f t="shared" si="37"/>
        <v>13</v>
      </c>
      <c r="FO26" s="321" t="s">
        <v>358</v>
      </c>
      <c r="FP26" s="321"/>
      <c r="FQ26" s="335">
        <f>FQ19+FQ24</f>
        <v>0</v>
      </c>
      <c r="FR26" s="335">
        <f t="shared" ref="FR26:FU26" si="104">FR19+FR24</f>
        <v>0</v>
      </c>
      <c r="FS26" s="335">
        <f t="shared" si="104"/>
        <v>0</v>
      </c>
      <c r="FT26" s="335">
        <f t="shared" si="104"/>
        <v>27075364.87814606</v>
      </c>
      <c r="FU26" s="335">
        <f t="shared" si="104"/>
        <v>27075364.87814606</v>
      </c>
      <c r="FV26" s="219">
        <v>13</v>
      </c>
      <c r="FW26" s="194" t="s">
        <v>415</v>
      </c>
      <c r="FX26" s="426"/>
      <c r="FY26" s="226">
        <v>9085.8152269499988</v>
      </c>
      <c r="FZ26" s="226">
        <v>9085.8152269499988</v>
      </c>
      <c r="GA26" s="226">
        <f t="shared" si="101"/>
        <v>0</v>
      </c>
      <c r="GB26" s="226">
        <v>0</v>
      </c>
      <c r="GC26" s="226">
        <f t="shared" si="38"/>
        <v>-9085.8152269499988</v>
      </c>
      <c r="GD26" s="402">
        <f t="shared" si="39"/>
        <v>13</v>
      </c>
      <c r="GE26" s="446"/>
      <c r="GF26" s="446"/>
      <c r="GG26" s="330"/>
      <c r="GH26" s="330"/>
      <c r="GI26" s="330"/>
      <c r="GJ26" s="330"/>
      <c r="GK26" s="330"/>
      <c r="GN26" s="3"/>
      <c r="GO26" s="3"/>
      <c r="GP26" s="3"/>
      <c r="GQ26" s="3"/>
      <c r="GR26" s="3"/>
      <c r="GS26" s="3"/>
      <c r="HB26" s="219">
        <v>13</v>
      </c>
      <c r="HC26" s="325" t="s">
        <v>97</v>
      </c>
      <c r="HD26" s="462">
        <f>FIT_GAS</f>
        <v>0.21</v>
      </c>
      <c r="HE26" s="442">
        <f t="shared" ref="HE26:HH26" si="105">-HE24*$HD$26</f>
        <v>0</v>
      </c>
      <c r="HF26" s="442">
        <f t="shared" si="105"/>
        <v>0</v>
      </c>
      <c r="HG26" s="442">
        <f t="shared" si="105"/>
        <v>0</v>
      </c>
      <c r="HH26" s="442">
        <f t="shared" si="105"/>
        <v>-34041.382917237803</v>
      </c>
      <c r="HI26" s="442">
        <f>-HI24*$HD$26</f>
        <v>-34041.382917237803</v>
      </c>
      <c r="HR26" s="219">
        <f t="shared" si="45"/>
        <v>13</v>
      </c>
      <c r="HS26" s="3"/>
      <c r="HT26" s="236"/>
      <c r="HU26" s="3"/>
      <c r="HV26" s="3"/>
      <c r="HW26" s="3"/>
      <c r="HX26" s="3"/>
      <c r="HY26" s="3"/>
    </row>
    <row r="27" spans="1:241" ht="16.8" thickTop="1" thickBot="1" x14ac:dyDescent="0.35">
      <c r="A27" s="370">
        <f t="shared" si="0"/>
        <v>14</v>
      </c>
      <c r="B27" s="484" t="s">
        <v>391</v>
      </c>
      <c r="C27" s="530"/>
      <c r="D27" s="674"/>
      <c r="E27" s="513"/>
      <c r="F27" s="320">
        <v>0</v>
      </c>
      <c r="G27" s="676"/>
      <c r="H27" s="320">
        <v>-3747914.02</v>
      </c>
      <c r="I27" s="219">
        <f t="shared" si="92"/>
        <v>14</v>
      </c>
      <c r="J27" s="531" t="s">
        <v>81</v>
      </c>
      <c r="K27" s="3"/>
      <c r="L27" s="237">
        <f>SUM(L24:L26)</f>
        <v>242488.89306780734</v>
      </c>
      <c r="M27" s="237">
        <f>SUM(M24:M26)</f>
        <v>245752.23076606775</v>
      </c>
      <c r="N27" s="237">
        <f>SUM(N24:N26)</f>
        <v>3263.3376982604332</v>
      </c>
      <c r="O27" s="237">
        <f t="shared" ref="O27:P27" si="106">SUM(O24:O26)</f>
        <v>1723517.0127254098</v>
      </c>
      <c r="P27" s="237">
        <f t="shared" si="106"/>
        <v>1477764.7819593423</v>
      </c>
      <c r="AE27" s="23"/>
      <c r="AG27" s="370">
        <f t="shared" si="4"/>
        <v>15</v>
      </c>
      <c r="AH27" s="532" t="s">
        <v>100</v>
      </c>
      <c r="AI27" s="412"/>
      <c r="AJ27" s="412"/>
      <c r="AK27" s="412"/>
      <c r="AL27" s="412"/>
      <c r="AM27" s="412"/>
      <c r="AN27" s="412"/>
      <c r="AW27" s="8"/>
      <c r="AX27" s="8"/>
      <c r="AY27" s="8"/>
      <c r="AZ27" s="533"/>
      <c r="BA27" s="534"/>
      <c r="BB27" s="535"/>
      <c r="BC27" s="536"/>
      <c r="BD27" s="536"/>
      <c r="BF27" s="219">
        <f t="shared" si="9"/>
        <v>14</v>
      </c>
      <c r="BG27" s="321" t="s">
        <v>171</v>
      </c>
      <c r="BH27" s="321"/>
      <c r="BI27" s="1">
        <f>SUM(BI24:BI26)</f>
        <v>4152344.5442483323</v>
      </c>
      <c r="BJ27" s="1">
        <f>SUM(BJ24:BJ26)</f>
        <v>4389177.8415234676</v>
      </c>
      <c r="BK27" s="1">
        <f>SUM(BK24:BK26)</f>
        <v>236833.297275135</v>
      </c>
      <c r="BL27" s="1">
        <f>SUM(BL24:BL26)</f>
        <v>4389177.8415234676</v>
      </c>
      <c r="BM27" s="1">
        <f>SUM(BM24:BM26)</f>
        <v>0</v>
      </c>
      <c r="BN27" s="387"/>
      <c r="CL27" s="219"/>
      <c r="CM27" s="478"/>
      <c r="CN27" s="478"/>
      <c r="DB27" s="387"/>
      <c r="DJ27" s="219">
        <f t="shared" si="14"/>
        <v>14</v>
      </c>
      <c r="DK27" s="321" t="s">
        <v>145</v>
      </c>
      <c r="DL27" s="3"/>
      <c r="DM27" s="50">
        <f>+DM26+DM24</f>
        <v>55982088.538726896</v>
      </c>
      <c r="DN27" s="50">
        <f>+DO26+DN24</f>
        <v>52827126.728971161</v>
      </c>
      <c r="DO27" s="440">
        <f>+DO26+DO24</f>
        <v>454935.96176372259</v>
      </c>
      <c r="DP27" s="50">
        <f>+DN27+DQ27</f>
        <v>55244820.510492943</v>
      </c>
      <c r="DQ27" s="440">
        <f>+DQ26+DQ24</f>
        <v>2417693.7815217846</v>
      </c>
      <c r="DR27" s="219">
        <f t="shared" si="17"/>
        <v>14</v>
      </c>
      <c r="DS27" s="529"/>
      <c r="DT27" s="6"/>
      <c r="DU27" s="193"/>
      <c r="DV27" s="193"/>
      <c r="DW27" s="193"/>
      <c r="DX27" s="193"/>
      <c r="DY27" s="193"/>
      <c r="EH27" s="248"/>
      <c r="EP27" s="8">
        <f t="shared" si="31"/>
        <v>14</v>
      </c>
      <c r="EQ27" s="314"/>
      <c r="ER27" s="8"/>
      <c r="ES27" s="1"/>
      <c r="ET27" s="1"/>
      <c r="EU27" s="1"/>
      <c r="EV27" s="1"/>
      <c r="EW27" s="1"/>
      <c r="EX27" s="3"/>
      <c r="EY27" s="3"/>
      <c r="EZ27" s="3"/>
      <c r="FA27" s="3"/>
      <c r="FB27" s="3"/>
      <c r="FC27" s="3"/>
      <c r="FD27" s="3"/>
      <c r="FE27" s="3"/>
      <c r="FN27" s="248">
        <f t="shared" si="37"/>
        <v>14</v>
      </c>
      <c r="FO27" s="537" t="s">
        <v>462</v>
      </c>
      <c r="FP27" s="321"/>
      <c r="FQ27" s="333"/>
      <c r="FR27" s="333"/>
      <c r="FS27" s="333"/>
      <c r="FT27" s="333"/>
      <c r="FU27" s="333"/>
      <c r="FV27" s="219">
        <v>14</v>
      </c>
      <c r="FW27" s="194" t="s">
        <v>414</v>
      </c>
      <c r="FX27" s="426"/>
      <c r="FY27" s="226">
        <v>19838.542231200001</v>
      </c>
      <c r="FZ27" s="226">
        <v>19838.542231200001</v>
      </c>
      <c r="GA27" s="226">
        <f t="shared" si="101"/>
        <v>0</v>
      </c>
      <c r="GB27" s="226">
        <v>0</v>
      </c>
      <c r="GC27" s="226">
        <f t="shared" si="38"/>
        <v>-19838.542231200001</v>
      </c>
      <c r="GD27" s="402">
        <f t="shared" si="39"/>
        <v>14</v>
      </c>
      <c r="GE27" s="321" t="s">
        <v>358</v>
      </c>
      <c r="GF27" s="321"/>
      <c r="GG27" s="335">
        <f>GG19+GG25</f>
        <v>0</v>
      </c>
      <c r="GH27" s="335">
        <f t="shared" ref="GH27:GK27" si="107">GH19+GH25</f>
        <v>0</v>
      </c>
      <c r="GI27" s="335">
        <f t="shared" si="107"/>
        <v>0</v>
      </c>
      <c r="GJ27" s="335">
        <f t="shared" si="107"/>
        <v>18429892.273602732</v>
      </c>
      <c r="GK27" s="335">
        <f t="shared" si="107"/>
        <v>18429892.273602732</v>
      </c>
      <c r="HB27" s="219">
        <v>14</v>
      </c>
      <c r="HC27" s="325" t="s">
        <v>80</v>
      </c>
      <c r="HD27" s="325"/>
      <c r="HE27" s="491">
        <f t="shared" ref="HE27:HH27" si="108">-HE24-HE26</f>
        <v>0</v>
      </c>
      <c r="HF27" s="491">
        <f t="shared" si="108"/>
        <v>0</v>
      </c>
      <c r="HG27" s="491">
        <f t="shared" si="108"/>
        <v>0</v>
      </c>
      <c r="HH27" s="491">
        <f t="shared" si="108"/>
        <v>-128060.44049818032</v>
      </c>
      <c r="HI27" s="491">
        <f>-HI24-HI26</f>
        <v>-128060.44049818032</v>
      </c>
      <c r="HR27" s="219">
        <f t="shared" si="45"/>
        <v>14</v>
      </c>
      <c r="HS27" s="3" t="s">
        <v>290</v>
      </c>
      <c r="HT27" s="236"/>
      <c r="HU27" s="1">
        <v>0</v>
      </c>
      <c r="HV27" s="1">
        <v>0</v>
      </c>
      <c r="HW27" s="1">
        <v>0</v>
      </c>
      <c r="HX27" s="1">
        <v>366871.7399634</v>
      </c>
      <c r="HY27" s="1">
        <v>366871.7399634</v>
      </c>
    </row>
    <row r="28" spans="1:241" ht="15.6" x14ac:dyDescent="0.3">
      <c r="A28" s="370">
        <f t="shared" si="0"/>
        <v>15</v>
      </c>
      <c r="B28" s="484" t="s">
        <v>392</v>
      </c>
      <c r="C28" s="530"/>
      <c r="D28" s="675"/>
      <c r="E28" s="538"/>
      <c r="F28" s="320">
        <v>-981624</v>
      </c>
      <c r="G28" s="675"/>
      <c r="H28" s="320">
        <v>0</v>
      </c>
      <c r="I28" s="219">
        <f t="shared" si="92"/>
        <v>15</v>
      </c>
      <c r="J28" s="531"/>
      <c r="K28" s="3"/>
      <c r="L28" s="3"/>
      <c r="M28" s="3"/>
      <c r="N28" s="3"/>
      <c r="O28" s="3"/>
      <c r="P28" s="3"/>
      <c r="AE28" s="23"/>
      <c r="AG28" s="370">
        <f t="shared" si="4"/>
        <v>16</v>
      </c>
      <c r="AH28" s="379" t="s">
        <v>92</v>
      </c>
      <c r="AI28" s="539">
        <f>+'COC, Def, ConvF'!M12</f>
        <v>5.1240000000000001E-3</v>
      </c>
      <c r="AJ28" s="336">
        <f>+$AI$28*AJ25</f>
        <v>319800.48572257528</v>
      </c>
      <c r="AK28" s="413">
        <f>+$AI$28*AK25</f>
        <v>0</v>
      </c>
      <c r="AL28" s="413">
        <f>+$AI$28*AL25</f>
        <v>-319800.48572257528</v>
      </c>
      <c r="AM28" s="413">
        <f t="shared" ref="AM28:AM30" si="109">AK28</f>
        <v>0</v>
      </c>
      <c r="AN28" s="413">
        <f t="shared" ref="AN28:AN30" si="110">+AM28-AK28</f>
        <v>0</v>
      </c>
      <c r="AW28" s="8"/>
      <c r="AX28" s="8"/>
      <c r="AY28" s="8"/>
      <c r="AZ28" s="540"/>
      <c r="BA28" s="504"/>
      <c r="BB28" s="504"/>
      <c r="BC28" s="504"/>
      <c r="BD28" s="504"/>
      <c r="BF28" s="219">
        <f t="shared" si="9"/>
        <v>15</v>
      </c>
      <c r="BG28" s="3"/>
      <c r="BH28" s="3"/>
      <c r="BI28" s="1"/>
      <c r="BJ28" s="1"/>
      <c r="BK28" s="1"/>
      <c r="BL28" s="1"/>
      <c r="BM28" s="1"/>
      <c r="BN28" s="387"/>
      <c r="DB28" s="387"/>
      <c r="DJ28" s="219">
        <f t="shared" si="14"/>
        <v>15</v>
      </c>
      <c r="DK28" s="321"/>
      <c r="DL28" s="3"/>
      <c r="DM28" s="3"/>
      <c r="DN28" s="3"/>
      <c r="DO28" s="3"/>
      <c r="DP28" s="3"/>
      <c r="DQ28" s="3"/>
      <c r="DR28" s="219">
        <f t="shared" si="17"/>
        <v>15</v>
      </c>
      <c r="DS28" s="319" t="s">
        <v>300</v>
      </c>
      <c r="DT28" s="321"/>
      <c r="DU28" s="377">
        <f>SUM(DU26:DU27)</f>
        <v>3095944.3866684199</v>
      </c>
      <c r="DV28" s="377">
        <f>SUM(DV26:DV27)</f>
        <v>3101248.6734679942</v>
      </c>
      <c r="DW28" s="386">
        <f>+DV28-DU28</f>
        <v>5304.2867995742708</v>
      </c>
      <c r="DX28" s="377">
        <f>SUM(DX26:DX27)</f>
        <v>3218784.8840221749</v>
      </c>
      <c r="DY28" s="49">
        <f>+DX28-DV28</f>
        <v>117536.21055418067</v>
      </c>
      <c r="EH28" s="248"/>
      <c r="EP28" s="8">
        <f t="shared" si="31"/>
        <v>15</v>
      </c>
      <c r="EQ28" s="520" t="s">
        <v>279</v>
      </c>
      <c r="ER28" s="8"/>
      <c r="ES28" s="1"/>
      <c r="ET28" s="1"/>
      <c r="EU28" s="1"/>
      <c r="EV28" s="1"/>
      <c r="EW28" s="1"/>
      <c r="EX28" s="3"/>
      <c r="EY28" s="3"/>
      <c r="EZ28" s="3"/>
      <c r="FA28" s="3"/>
      <c r="FB28" s="3"/>
      <c r="FC28" s="3"/>
      <c r="FD28" s="3"/>
      <c r="FE28" s="3"/>
      <c r="FN28" s="248">
        <f t="shared" si="37"/>
        <v>15</v>
      </c>
      <c r="FO28" s="400" t="s">
        <v>359</v>
      </c>
      <c r="FP28" s="537"/>
      <c r="FQ28" s="541"/>
      <c r="FR28" s="541"/>
      <c r="FS28" s="541"/>
      <c r="FT28" s="541"/>
      <c r="FU28" s="541"/>
      <c r="FV28" s="219">
        <v>15</v>
      </c>
      <c r="FW28" s="7" t="s">
        <v>413</v>
      </c>
      <c r="FX28" s="426"/>
      <c r="FY28" s="226">
        <v>109085.93640000001</v>
      </c>
      <c r="FZ28" s="226">
        <v>109085.93640000001</v>
      </c>
      <c r="GA28" s="226">
        <f t="shared" ref="GA28" si="111">FZ28-FY28</f>
        <v>0</v>
      </c>
      <c r="GB28" s="226">
        <v>0</v>
      </c>
      <c r="GC28" s="226">
        <f t="shared" si="38"/>
        <v>-109085.93640000001</v>
      </c>
      <c r="GD28" s="402">
        <f t="shared" si="39"/>
        <v>15</v>
      </c>
      <c r="GE28" s="537"/>
      <c r="GF28" s="537"/>
      <c r="GG28" s="542"/>
      <c r="GH28" s="542"/>
      <c r="GI28" s="542"/>
      <c r="GJ28" s="542"/>
      <c r="GK28" s="543">
        <v>0</v>
      </c>
      <c r="HR28" s="219">
        <f t="shared" si="45"/>
        <v>15</v>
      </c>
      <c r="HS28" s="3"/>
      <c r="HT28" s="3"/>
      <c r="HU28" s="3"/>
      <c r="HV28" s="3"/>
      <c r="HW28" s="3"/>
      <c r="HX28" s="3"/>
      <c r="HY28" s="3"/>
      <c r="IB28" s="20"/>
    </row>
    <row r="29" spans="1:241" x14ac:dyDescent="0.25">
      <c r="A29" s="370">
        <f t="shared" si="0"/>
        <v>16</v>
      </c>
      <c r="B29" s="484" t="s">
        <v>393</v>
      </c>
      <c r="C29" s="530"/>
      <c r="D29" s="485"/>
      <c r="E29" s="485"/>
      <c r="F29" s="485">
        <f>SUM(F23:F28)</f>
        <v>2691478.5600000005</v>
      </c>
      <c r="G29" s="485"/>
      <c r="H29" s="485">
        <f t="shared" ref="H29" si="112">SUM(H23:H28)</f>
        <v>-9854969.0099999998</v>
      </c>
      <c r="I29" s="219">
        <f t="shared" si="92"/>
        <v>16</v>
      </c>
      <c r="J29" s="337" t="s">
        <v>365</v>
      </c>
      <c r="K29" s="3"/>
      <c r="L29" s="50">
        <f>+L19-L21-L27</f>
        <v>5093152.4708903711</v>
      </c>
      <c r="M29" s="50">
        <f t="shared" ref="M29:P29" si="113">+M19-M21-M27</f>
        <v>5161694.4822417814</v>
      </c>
      <c r="N29" s="50">
        <f t="shared" si="113"/>
        <v>68542.011351410649</v>
      </c>
      <c r="O29" s="50">
        <f t="shared" si="113"/>
        <v>20681346.557183105</v>
      </c>
      <c r="P29" s="50">
        <f t="shared" si="113"/>
        <v>15519652.074941324</v>
      </c>
      <c r="AG29" s="370">
        <f t="shared" si="4"/>
        <v>17</v>
      </c>
      <c r="AH29" s="495" t="s">
        <v>70</v>
      </c>
      <c r="AI29" s="539">
        <f>+'COC, Def, ConvF'!M13</f>
        <v>2E-3</v>
      </c>
      <c r="AJ29" s="336">
        <f>+$AI$29*AJ25</f>
        <v>124824.54555916287</v>
      </c>
      <c r="AK29" s="413">
        <f>+$AI$29*AK25</f>
        <v>0</v>
      </c>
      <c r="AL29" s="413">
        <f>+$AI$29*AL25</f>
        <v>-124824.54555916287</v>
      </c>
      <c r="AM29" s="413">
        <f t="shared" si="109"/>
        <v>0</v>
      </c>
      <c r="AN29" s="413">
        <f t="shared" si="110"/>
        <v>0</v>
      </c>
      <c r="AW29" s="8"/>
      <c r="AX29" s="8"/>
      <c r="AY29" s="8"/>
      <c r="AZ29" s="544"/>
      <c r="BA29" s="504"/>
      <c r="BB29" s="504"/>
      <c r="BC29" s="504"/>
      <c r="BD29" s="504"/>
      <c r="BF29" s="219">
        <f t="shared" si="9"/>
        <v>16</v>
      </c>
      <c r="BG29" s="46" t="s">
        <v>97</v>
      </c>
      <c r="BH29" s="545">
        <v>0.21</v>
      </c>
      <c r="BI29" s="234">
        <f>-FIT_GAS*BI27</f>
        <v>-871992.35429214977</v>
      </c>
      <c r="BJ29" s="234">
        <f>-FIT_GAS*BJ27</f>
        <v>-921727.3467199282</v>
      </c>
      <c r="BK29" s="234">
        <f>+BJ29-BI29</f>
        <v>-49734.99242777843</v>
      </c>
      <c r="BL29" s="234">
        <f>+BJ29</f>
        <v>-921727.3467199282</v>
      </c>
      <c r="BM29" s="234">
        <f>-BM27*BH29</f>
        <v>0</v>
      </c>
      <c r="BN29" s="387"/>
      <c r="DB29" s="387"/>
      <c r="DJ29" s="219">
        <f t="shared" si="14"/>
        <v>16</v>
      </c>
      <c r="DK29" s="546" t="s">
        <v>83</v>
      </c>
      <c r="DL29" s="3"/>
      <c r="DM29" s="547">
        <f>+DM27</f>
        <v>55982088.538726896</v>
      </c>
      <c r="DN29" s="547">
        <f>+DN27</f>
        <v>52827126.728971161</v>
      </c>
      <c r="DO29" s="547">
        <f>+DO27</f>
        <v>454935.96176372259</v>
      </c>
      <c r="DP29" s="547">
        <f>+DP27</f>
        <v>55244820.510492943</v>
      </c>
      <c r="DQ29" s="547">
        <f>+DQ27</f>
        <v>2417693.7815217846</v>
      </c>
      <c r="DR29" s="219">
        <f t="shared" si="17"/>
        <v>16</v>
      </c>
      <c r="DS29" s="319"/>
      <c r="DT29" s="321"/>
      <c r="DU29" s="193"/>
      <c r="DV29" s="193"/>
      <c r="DW29" s="193"/>
      <c r="DX29" s="193"/>
      <c r="DY29" s="193"/>
      <c r="EH29" s="248"/>
      <c r="EP29" s="8">
        <f t="shared" si="31"/>
        <v>16</v>
      </c>
      <c r="EQ29" s="520" t="s">
        <v>482</v>
      </c>
      <c r="ER29" s="8"/>
      <c r="ES29" s="49">
        <f t="shared" ref="ES29:ET29" si="114">-ES23</f>
        <v>-143075300.43646103</v>
      </c>
      <c r="ET29" s="49">
        <f t="shared" si="114"/>
        <v>-155402272.09059581</v>
      </c>
      <c r="EU29" s="49">
        <f>-EU23</f>
        <v>-12326971.654134724</v>
      </c>
      <c r="EV29" s="49">
        <f>-EV23</f>
        <v>-155402272.09059581</v>
      </c>
      <c r="EW29" s="49">
        <f>-EW23</f>
        <v>0</v>
      </c>
      <c r="EX29" s="3"/>
      <c r="EY29" s="3"/>
      <c r="EZ29" s="3"/>
      <c r="FA29" s="3"/>
      <c r="FB29" s="3"/>
      <c r="FC29" s="3"/>
      <c r="FD29" s="3"/>
      <c r="FE29" s="3"/>
      <c r="FN29" s="248">
        <f t="shared" si="37"/>
        <v>16</v>
      </c>
      <c r="FO29" s="406" t="s">
        <v>360</v>
      </c>
      <c r="FP29" s="406"/>
      <c r="FQ29" s="333"/>
      <c r="FR29" s="333"/>
      <c r="FS29" s="333">
        <v>0</v>
      </c>
      <c r="FT29" s="333">
        <v>1554662.2328806862</v>
      </c>
      <c r="FU29" s="333">
        <f>+FT29-FS29</f>
        <v>1554662.2328806862</v>
      </c>
      <c r="FV29" s="219">
        <v>16</v>
      </c>
      <c r="FW29" s="337" t="s">
        <v>102</v>
      </c>
      <c r="FX29" s="337"/>
      <c r="FY29" s="31">
        <f>SUM(FY15:FY28)</f>
        <v>3437071.0975345504</v>
      </c>
      <c r="FZ29" s="31">
        <f>SUM(FZ15:FZ28)</f>
        <v>2778097.2982822503</v>
      </c>
      <c r="GA29" s="31">
        <f>SUM(GA15:GA28)</f>
        <v>-658973.79925230017</v>
      </c>
      <c r="GB29" s="31">
        <f>SUM(GB15:GB28)</f>
        <v>2608272.4114566003</v>
      </c>
      <c r="GC29" s="31">
        <f>SUM(GC15:GC28)</f>
        <v>-169824.88682564982</v>
      </c>
      <c r="GD29" s="402">
        <f t="shared" si="39"/>
        <v>16</v>
      </c>
      <c r="GE29" s="400" t="s">
        <v>359</v>
      </c>
      <c r="GF29" s="400"/>
      <c r="GG29" s="249"/>
      <c r="GH29" s="249"/>
      <c r="GI29" s="249"/>
      <c r="GJ29" s="249"/>
      <c r="GK29" s="249"/>
      <c r="HR29" s="219">
        <f t="shared" si="45"/>
        <v>16</v>
      </c>
      <c r="HS29" s="3" t="s">
        <v>97</v>
      </c>
      <c r="HT29" s="238">
        <f>FIT_GAS</f>
        <v>0.21</v>
      </c>
      <c r="HU29" s="1">
        <f t="shared" ref="HU29:HW29" si="115">-HU27*$HT$29</f>
        <v>0</v>
      </c>
      <c r="HV29" s="1">
        <f t="shared" si="115"/>
        <v>0</v>
      </c>
      <c r="HW29" s="1">
        <f t="shared" si="115"/>
        <v>0</v>
      </c>
      <c r="HX29" s="1">
        <f>-HX27*$HT$29</f>
        <v>-77043.065392313991</v>
      </c>
      <c r="HY29" s="1">
        <f>HX29-HW29</f>
        <v>-77043.065392313991</v>
      </c>
    </row>
    <row r="30" spans="1:241" ht="14.4" thickBot="1" x14ac:dyDescent="0.3">
      <c r="A30" s="370">
        <f t="shared" si="0"/>
        <v>17</v>
      </c>
      <c r="B30" s="548"/>
      <c r="C30" s="373"/>
      <c r="D30" s="549"/>
      <c r="E30" s="330"/>
      <c r="F30" s="485"/>
      <c r="G30" s="485"/>
      <c r="H30" s="485"/>
      <c r="I30" s="219">
        <f t="shared" si="92"/>
        <v>17</v>
      </c>
      <c r="J30" s="337"/>
      <c r="K30" s="3"/>
      <c r="L30" s="3"/>
      <c r="M30" s="3"/>
      <c r="N30" s="3"/>
      <c r="O30" s="3"/>
      <c r="P30" s="3"/>
      <c r="AG30" s="370">
        <f t="shared" si="4"/>
        <v>18</v>
      </c>
      <c r="AH30" s="550" t="s">
        <v>262</v>
      </c>
      <c r="AI30" s="539">
        <f>+'COC, Def, ConvF'!M14</f>
        <v>3.8323000000000003E-2</v>
      </c>
      <c r="AJ30" s="336">
        <f>+$AI$30*AJ25</f>
        <v>2391825.5297318995</v>
      </c>
      <c r="AK30" s="413">
        <f>+$AI$30*AK25</f>
        <v>0</v>
      </c>
      <c r="AL30" s="413">
        <f>+$AI$30*AL25</f>
        <v>-2391825.5297318995</v>
      </c>
      <c r="AM30" s="413">
        <f t="shared" si="109"/>
        <v>0</v>
      </c>
      <c r="AN30" s="413">
        <f t="shared" si="110"/>
        <v>0</v>
      </c>
      <c r="AW30" s="8"/>
      <c r="AX30" s="8"/>
      <c r="AY30" s="8"/>
      <c r="AZ30" s="461"/>
      <c r="BA30" s="256"/>
      <c r="BB30" s="256"/>
      <c r="BC30" s="256"/>
      <c r="BD30" s="256"/>
      <c r="BF30" s="219">
        <f t="shared" si="9"/>
        <v>17</v>
      </c>
      <c r="BG30" s="321" t="s">
        <v>80</v>
      </c>
      <c r="BI30" s="474">
        <f>-BI27-BI29</f>
        <v>-3280352.1899561826</v>
      </c>
      <c r="BJ30" s="474">
        <f>-BJ27-BJ29</f>
        <v>-3467450.4948035395</v>
      </c>
      <c r="BK30" s="474">
        <f>-BK27-BK29</f>
        <v>-187098.30484735657</v>
      </c>
      <c r="BL30" s="474">
        <f>-BL27-BL29</f>
        <v>-3467450.4948035395</v>
      </c>
      <c r="BM30" s="474">
        <f>-BM27-BM29</f>
        <v>0</v>
      </c>
      <c r="DB30" s="387"/>
      <c r="DJ30" s="219">
        <f t="shared" si="14"/>
        <v>17</v>
      </c>
      <c r="DK30" s="321" t="s">
        <v>297</v>
      </c>
      <c r="DL30" s="235">
        <f>FIT_GAS</f>
        <v>0.21</v>
      </c>
      <c r="DM30" s="551">
        <f>-DM29*$DL$30</f>
        <v>-11756238.593132649</v>
      </c>
      <c r="DN30" s="551">
        <f>-DN29*$DL$30</f>
        <v>-11093696.613083944</v>
      </c>
      <c r="DO30" s="551">
        <f>-DO29*$DL$30</f>
        <v>-95536.551970381741</v>
      </c>
      <c r="DP30" s="551">
        <f>-DP29*$DL$30</f>
        <v>-11601412.307203518</v>
      </c>
      <c r="DQ30" s="551">
        <f>-DQ29*DL30</f>
        <v>-507715.69411957473</v>
      </c>
      <c r="DR30" s="219">
        <f t="shared" si="17"/>
        <v>17</v>
      </c>
      <c r="DS30" s="319" t="s">
        <v>175</v>
      </c>
      <c r="DT30" s="321"/>
      <c r="DU30" s="49">
        <f t="shared" ref="DU30:DV30" si="116">+DU28</f>
        <v>3095944.3866684199</v>
      </c>
      <c r="DV30" s="49">
        <f t="shared" si="116"/>
        <v>3101248.6734679942</v>
      </c>
      <c r="DW30" s="49">
        <f>+DW28</f>
        <v>5304.2867995742708</v>
      </c>
      <c r="DX30" s="49">
        <f>+DX28</f>
        <v>3218784.8840221749</v>
      </c>
      <c r="DY30" s="49">
        <f>+DY28</f>
        <v>117536.21055418067</v>
      </c>
      <c r="EH30" s="248"/>
      <c r="EP30" s="8">
        <f t="shared" si="31"/>
        <v>17</v>
      </c>
      <c r="EQ30" s="337" t="s">
        <v>184</v>
      </c>
      <c r="ER30" s="8"/>
      <c r="ES30" s="1">
        <f t="shared" ref="ES30:ET30" si="117">-ES25</f>
        <v>30045813.091656815</v>
      </c>
      <c r="ET30" s="1">
        <f t="shared" si="117"/>
        <v>32634477.139025118</v>
      </c>
      <c r="EU30" s="1">
        <f>-EU25</f>
        <v>2588664.0473682922</v>
      </c>
      <c r="EV30" s="1">
        <f>-EV25</f>
        <v>32634477.139025118</v>
      </c>
      <c r="EW30" s="1">
        <f>-EW25</f>
        <v>0</v>
      </c>
      <c r="EX30" s="3"/>
      <c r="FN30" s="248">
        <f t="shared" si="37"/>
        <v>17</v>
      </c>
      <c r="FO30" s="406" t="s">
        <v>428</v>
      </c>
      <c r="FQ30" s="333"/>
      <c r="FR30" s="333"/>
      <c r="FS30" s="333"/>
      <c r="FT30" s="333">
        <v>-67505.244000000006</v>
      </c>
      <c r="FU30" s="333">
        <f>+FT30-FS30</f>
        <v>-67505.244000000006</v>
      </c>
      <c r="FV30" s="219">
        <v>17</v>
      </c>
      <c r="FW30" s="478"/>
      <c r="FX30" s="478"/>
      <c r="FY30" s="20"/>
      <c r="FZ30" s="20"/>
      <c r="GA30" s="20"/>
      <c r="GB30" s="20"/>
      <c r="GC30" s="20"/>
      <c r="GD30" s="402">
        <f t="shared" si="39"/>
        <v>17</v>
      </c>
      <c r="GE30" s="406" t="s">
        <v>402</v>
      </c>
      <c r="GF30" s="406"/>
      <c r="GG30" s="408">
        <v>0</v>
      </c>
      <c r="GH30" s="408">
        <v>0</v>
      </c>
      <c r="GI30" s="408">
        <v>0</v>
      </c>
      <c r="GJ30" s="333">
        <v>4150710.4686683994</v>
      </c>
      <c r="GK30" s="408">
        <f>+GJ30-GI30</f>
        <v>4150710.4686683994</v>
      </c>
      <c r="HR30" s="219">
        <f t="shared" si="45"/>
        <v>17</v>
      </c>
      <c r="HS30" s="3" t="s">
        <v>80</v>
      </c>
      <c r="HT30" s="3"/>
      <c r="HU30" s="231">
        <f t="shared" ref="HU30:HW30" si="118">-HU27-HU29</f>
        <v>0</v>
      </c>
      <c r="HV30" s="231">
        <f t="shared" si="118"/>
        <v>0</v>
      </c>
      <c r="HW30" s="231">
        <f t="shared" si="118"/>
        <v>0</v>
      </c>
      <c r="HX30" s="231">
        <f>-HX27-HX29</f>
        <v>-289828.67457108601</v>
      </c>
      <c r="HY30" s="231">
        <f>-HY27-HY29</f>
        <v>-289828.67457108601</v>
      </c>
    </row>
    <row r="31" spans="1:241" ht="15" thickTop="1" thickBot="1" x14ac:dyDescent="0.3">
      <c r="A31" s="370">
        <f t="shared" si="0"/>
        <v>18</v>
      </c>
      <c r="B31" s="548" t="s">
        <v>394</v>
      </c>
      <c r="C31" s="373"/>
      <c r="D31" s="401"/>
      <c r="E31" s="401"/>
      <c r="F31" s="401">
        <f t="shared" ref="F31:H31" si="119">+F20+F29</f>
        <v>-42986695.226802818</v>
      </c>
      <c r="G31" s="401"/>
      <c r="H31" s="401">
        <f t="shared" si="119"/>
        <v>-9803997.7300000004</v>
      </c>
      <c r="I31" s="219">
        <f t="shared" si="92"/>
        <v>18</v>
      </c>
      <c r="J31" s="337" t="s">
        <v>97</v>
      </c>
      <c r="K31" s="238">
        <f>FIT_GAS</f>
        <v>0.21</v>
      </c>
      <c r="L31" s="50">
        <f>L29*$K$31</f>
        <v>1069562.0188869778</v>
      </c>
      <c r="M31" s="50">
        <f>M29*$K$31</f>
        <v>1083955.8412707741</v>
      </c>
      <c r="N31" s="50">
        <f>N29*$K$31</f>
        <v>14393.822383796236</v>
      </c>
      <c r="O31" s="50">
        <f>O29*$K$31</f>
        <v>4343082.7770084525</v>
      </c>
      <c r="P31" s="50">
        <f>P29*$K$31</f>
        <v>3259126.9357376778</v>
      </c>
      <c r="AG31" s="370">
        <f t="shared" si="4"/>
        <v>19</v>
      </c>
      <c r="AH31" s="552" t="s">
        <v>263</v>
      </c>
      <c r="AI31" s="553"/>
      <c r="AJ31" s="330">
        <f>SUM(AJ28:AJ30)</f>
        <v>2836450.5610136376</v>
      </c>
      <c r="AK31" s="528">
        <f>SUM(AK28:AK30)</f>
        <v>0</v>
      </c>
      <c r="AL31" s="330">
        <f>SUM(AL28:AL30)</f>
        <v>-2836450.5610136376</v>
      </c>
      <c r="AM31" s="528">
        <f>SUM(AM28:AM30)</f>
        <v>0</v>
      </c>
      <c r="AN31" s="528">
        <f>SUM(AN28:AN30)</f>
        <v>0</v>
      </c>
      <c r="AW31" s="8"/>
      <c r="AX31" s="8"/>
      <c r="AY31" s="8"/>
      <c r="AZ31" s="461"/>
      <c r="BA31" s="256"/>
      <c r="BB31" s="256"/>
      <c r="BC31" s="256"/>
      <c r="BD31" s="256"/>
      <c r="BF31" s="219"/>
      <c r="DB31" s="387"/>
      <c r="DJ31" s="219">
        <f t="shared" si="14"/>
        <v>18</v>
      </c>
      <c r="DK31" s="321" t="s">
        <v>80</v>
      </c>
      <c r="DL31" s="3"/>
      <c r="DM31" s="554">
        <f>-DM29-DM30</f>
        <v>-44225849.945594251</v>
      </c>
      <c r="DN31" s="554">
        <f>-DN29-DN30</f>
        <v>-41733430.115887217</v>
      </c>
      <c r="DO31" s="554">
        <f>-DO29-DO30</f>
        <v>-359399.40979334083</v>
      </c>
      <c r="DP31" s="554">
        <f>-DP29-DP30</f>
        <v>-43643408.203289427</v>
      </c>
      <c r="DQ31" s="554">
        <f>-DQ29-DQ30</f>
        <v>-1909978.0874022099</v>
      </c>
      <c r="DR31" s="219">
        <f t="shared" si="17"/>
        <v>18</v>
      </c>
      <c r="DS31" s="319"/>
      <c r="DT31" s="321"/>
      <c r="DU31" s="3"/>
      <c r="DV31" s="3"/>
      <c r="DW31" s="3"/>
      <c r="DX31" s="3"/>
      <c r="DY31" s="3"/>
      <c r="EH31" s="248"/>
      <c r="EP31" s="8">
        <f t="shared" si="31"/>
        <v>18</v>
      </c>
      <c r="EQ31" s="520" t="s">
        <v>286</v>
      </c>
      <c r="ER31" s="8"/>
      <c r="ES31" s="231">
        <f t="shared" ref="ES31:ET31" si="120">SUM(ES29:ES30)</f>
        <v>-113029487.34480421</v>
      </c>
      <c r="ET31" s="231">
        <f t="shared" si="120"/>
        <v>-122767794.95157069</v>
      </c>
      <c r="EU31" s="231">
        <f>SUM(EU29:EU30)</f>
        <v>-9738307.6067664325</v>
      </c>
      <c r="EV31" s="231">
        <f>SUM(EV29:EV30)</f>
        <v>-122767794.95157069</v>
      </c>
      <c r="EW31" s="231">
        <f>SUM(EW29:EW30)</f>
        <v>0</v>
      </c>
      <c r="EX31" s="3"/>
      <c r="FN31" s="248">
        <f t="shared" si="37"/>
        <v>18</v>
      </c>
      <c r="FO31" s="406" t="s">
        <v>361</v>
      </c>
      <c r="FP31" s="406"/>
      <c r="FQ31" s="333">
        <v>0</v>
      </c>
      <c r="FR31" s="333">
        <v>0</v>
      </c>
      <c r="FS31" s="333">
        <v>0</v>
      </c>
      <c r="FT31" s="333">
        <v>390538.48325363314</v>
      </c>
      <c r="FU31" s="333">
        <f>+FT31-FS31</f>
        <v>390538.48325363314</v>
      </c>
      <c r="FV31" s="219">
        <v>18</v>
      </c>
      <c r="FW31" s="478" t="s">
        <v>106</v>
      </c>
      <c r="FX31" s="462">
        <f>FIT_GAS</f>
        <v>0.21</v>
      </c>
      <c r="FY31" s="20">
        <f>-FY29*$FX$31</f>
        <v>-721784.93048225553</v>
      </c>
      <c r="FZ31" s="20">
        <f>-FZ29*$FX$31</f>
        <v>-583400.43263927253</v>
      </c>
      <c r="GA31" s="20">
        <f>-GA29*$FX$31</f>
        <v>138384.49784298302</v>
      </c>
      <c r="GB31" s="20">
        <f>-GB29*$FX$31</f>
        <v>-547737.2064058861</v>
      </c>
      <c r="GC31" s="20">
        <f>-GC29*$FX$31</f>
        <v>35663.226233386464</v>
      </c>
      <c r="GD31" s="402">
        <f t="shared" si="39"/>
        <v>18</v>
      </c>
      <c r="GE31" s="406" t="s">
        <v>384</v>
      </c>
      <c r="GF31" s="406"/>
      <c r="GG31" s="333">
        <v>0</v>
      </c>
      <c r="GH31" s="333">
        <v>0</v>
      </c>
      <c r="GI31" s="333">
        <v>0</v>
      </c>
      <c r="GJ31" s="333">
        <v>3885741.6581850122</v>
      </c>
      <c r="GK31" s="333">
        <f>+GJ31-GI31</f>
        <v>3885741.6581850122</v>
      </c>
      <c r="HR31" s="219"/>
    </row>
    <row r="32" spans="1:241" ht="15.6" thickTop="1" thickBot="1" x14ac:dyDescent="0.35">
      <c r="A32" s="370">
        <f t="shared" si="0"/>
        <v>19</v>
      </c>
      <c r="B32" s="548"/>
      <c r="C32" s="373"/>
      <c r="D32" s="401"/>
      <c r="E32" s="401"/>
      <c r="F32" s="555"/>
      <c r="G32" s="401"/>
      <c r="H32" s="401"/>
      <c r="I32" s="219">
        <f t="shared" si="92"/>
        <v>19</v>
      </c>
      <c r="J32" s="337" t="s">
        <v>80</v>
      </c>
      <c r="K32" s="5"/>
      <c r="L32" s="237">
        <f>L29-L31</f>
        <v>4023590.4520033933</v>
      </c>
      <c r="M32" s="237">
        <f>M29-M31</f>
        <v>4077738.6409710073</v>
      </c>
      <c r="N32" s="237">
        <f t="shared" ref="N32:O32" si="121">N29-N31</f>
        <v>54148.188967614413</v>
      </c>
      <c r="O32" s="237">
        <f t="shared" si="121"/>
        <v>16338263.780174654</v>
      </c>
      <c r="P32" s="237">
        <f>P29-P31</f>
        <v>12260525.139203645</v>
      </c>
      <c r="AG32" s="370">
        <f t="shared" si="4"/>
        <v>20</v>
      </c>
      <c r="AW32" s="8"/>
      <c r="AX32" s="8"/>
      <c r="AY32" s="8"/>
      <c r="AZ32" s="461"/>
      <c r="BA32" s="256"/>
      <c r="BB32" s="256"/>
      <c r="BC32" s="256"/>
      <c r="BD32" s="256"/>
      <c r="DB32" s="387"/>
      <c r="DR32" s="219">
        <f t="shared" si="17"/>
        <v>19</v>
      </c>
      <c r="DS32" s="319" t="s">
        <v>97</v>
      </c>
      <c r="DT32" s="235">
        <f>+FIT_GAS</f>
        <v>0.21</v>
      </c>
      <c r="DU32" s="492">
        <f t="shared" ref="DU32:DV32" si="122">-DU30*$DT$32</f>
        <v>-650148.32120036811</v>
      </c>
      <c r="DV32" s="492">
        <f t="shared" si="122"/>
        <v>-651262.22142827872</v>
      </c>
      <c r="DW32" s="492">
        <f>-DW30*$DT$32</f>
        <v>-1113.9002279105969</v>
      </c>
      <c r="DX32" s="492">
        <f>-DX30*$DT$32</f>
        <v>-675944.82564465667</v>
      </c>
      <c r="DY32" s="492">
        <f>-DY30*$DT$32</f>
        <v>-24682.604216377938</v>
      </c>
      <c r="EH32" s="248"/>
      <c r="EP32" s="8"/>
      <c r="ER32" s="8"/>
      <c r="ES32" s="1"/>
      <c r="ET32" s="1"/>
      <c r="EU32" s="1"/>
      <c r="EV32" s="1"/>
      <c r="EW32" s="1"/>
      <c r="EX32" s="3"/>
      <c r="FN32" s="248">
        <f t="shared" si="37"/>
        <v>19</v>
      </c>
      <c r="FO32" s="406" t="s">
        <v>362</v>
      </c>
      <c r="FP32" s="406"/>
      <c r="FQ32" s="333">
        <v>0</v>
      </c>
      <c r="FR32" s="333">
        <v>0</v>
      </c>
      <c r="FS32" s="333">
        <v>0</v>
      </c>
      <c r="FT32" s="333">
        <v>1907894.969911834</v>
      </c>
      <c r="FU32" s="333">
        <f>+FT32-FS32</f>
        <v>1907894.969911834</v>
      </c>
      <c r="FV32" s="219">
        <v>19</v>
      </c>
      <c r="FW32" s="478" t="s">
        <v>88</v>
      </c>
      <c r="FX32" s="478"/>
      <c r="FY32" s="479">
        <f>-FY29-FY31</f>
        <v>-2715286.1670522951</v>
      </c>
      <c r="FZ32" s="479">
        <f t="shared" ref="FZ32:GC32" si="123">-FZ29-FZ31</f>
        <v>-2194696.8656429779</v>
      </c>
      <c r="GA32" s="479">
        <f t="shared" si="123"/>
        <v>520589.30140931718</v>
      </c>
      <c r="GB32" s="479">
        <f t="shared" si="123"/>
        <v>-2060535.2050507143</v>
      </c>
      <c r="GC32" s="479">
        <f t="shared" si="123"/>
        <v>134161.66059226336</v>
      </c>
      <c r="GD32" s="402">
        <f t="shared" si="39"/>
        <v>19</v>
      </c>
      <c r="GE32" s="406" t="s">
        <v>385</v>
      </c>
      <c r="GF32" s="406"/>
      <c r="GG32" s="333">
        <v>0</v>
      </c>
      <c r="GH32" s="333">
        <v>0</v>
      </c>
      <c r="GI32" s="333">
        <v>0</v>
      </c>
      <c r="GJ32" s="429">
        <v>160674.95087498866</v>
      </c>
      <c r="GK32" s="429">
        <f>+GJ32-GI32</f>
        <v>160674.95087498866</v>
      </c>
      <c r="HR32" s="219"/>
    </row>
    <row r="33" spans="1:226" ht="15" thickBot="1" x14ac:dyDescent="0.35">
      <c r="A33" s="370">
        <f t="shared" si="0"/>
        <v>20</v>
      </c>
      <c r="B33" s="375" t="s">
        <v>395</v>
      </c>
      <c r="C33" s="376"/>
      <c r="D33" s="678" t="s">
        <v>455</v>
      </c>
      <c r="E33" s="401"/>
      <c r="F33" s="555"/>
      <c r="G33" s="677" t="s">
        <v>455</v>
      </c>
      <c r="H33" s="401"/>
      <c r="I33" s="8"/>
      <c r="J33" s="3"/>
      <c r="AG33" s="370">
        <f t="shared" si="4"/>
        <v>21</v>
      </c>
      <c r="AH33" s="556" t="s">
        <v>101</v>
      </c>
      <c r="AI33" s="527"/>
      <c r="AJ33" s="527"/>
      <c r="AK33" s="527"/>
      <c r="AL33" s="527"/>
      <c r="AM33" s="527"/>
      <c r="AN33" s="527"/>
      <c r="AZ33" s="18"/>
      <c r="BA33" s="18"/>
      <c r="BB33" s="18"/>
      <c r="BC33" s="18"/>
      <c r="BD33" s="18"/>
      <c r="DO33" s="11"/>
      <c r="DP33" s="12"/>
      <c r="DQ33" s="11"/>
      <c r="DR33" s="219">
        <f t="shared" si="17"/>
        <v>20</v>
      </c>
      <c r="DS33" s="319"/>
      <c r="DT33" s="321"/>
      <c r="DU33" s="193"/>
      <c r="DV33" s="193"/>
      <c r="DW33" s="193"/>
      <c r="DX33" s="193"/>
      <c r="DY33" s="193"/>
      <c r="ES33" s="1"/>
      <c r="ET33" s="1"/>
      <c r="EU33" s="1"/>
      <c r="EV33" s="1"/>
      <c r="EW33" s="1"/>
      <c r="EX33" s="3"/>
      <c r="FN33" s="248">
        <f t="shared" si="37"/>
        <v>20</v>
      </c>
      <c r="FO33" s="406" t="s">
        <v>363</v>
      </c>
      <c r="FP33" s="406"/>
      <c r="FQ33" s="330">
        <f>SUM(FQ29:FQ32)</f>
        <v>0</v>
      </c>
      <c r="FR33" s="330">
        <f>SUM(FR29:FR32)</f>
        <v>0</v>
      </c>
      <c r="FS33" s="330">
        <f>SUM(FS29:FS32)</f>
        <v>0</v>
      </c>
      <c r="FT33" s="330">
        <f>SUM(FT29:FT32)</f>
        <v>3785590.4420461534</v>
      </c>
      <c r="FU33" s="330">
        <f>SUM(FU29:FU32)</f>
        <v>3785590.4420461534</v>
      </c>
      <c r="GD33" s="402">
        <f t="shared" si="39"/>
        <v>20</v>
      </c>
      <c r="GE33" s="406" t="s">
        <v>363</v>
      </c>
      <c r="GF33" s="406"/>
      <c r="GG33" s="491">
        <f t="shared" ref="GG33:GH33" si="124">SUM(GG30:GG32)</f>
        <v>0</v>
      </c>
      <c r="GH33" s="491">
        <f t="shared" si="124"/>
        <v>0</v>
      </c>
      <c r="GI33" s="491">
        <f>SUM(GI30:GI32)</f>
        <v>0</v>
      </c>
      <c r="GJ33" s="557">
        <f>SUM(GJ30:GJ32)</f>
        <v>8197127.0777284009</v>
      </c>
      <c r="GK33" s="557">
        <f>SUM(GK30:GK32)</f>
        <v>8197127.0777284009</v>
      </c>
      <c r="HR33" s="219"/>
    </row>
    <row r="34" spans="1:226" ht="17.399999999999999" thickTop="1" thickBot="1" x14ac:dyDescent="0.4">
      <c r="A34" s="370">
        <f t="shared" si="0"/>
        <v>21</v>
      </c>
      <c r="B34" s="405" t="s">
        <v>449</v>
      </c>
      <c r="C34" s="376"/>
      <c r="D34" s="678"/>
      <c r="E34" s="558"/>
      <c r="F34" s="555">
        <v>-4375430.6744962931</v>
      </c>
      <c r="G34" s="677"/>
      <c r="H34" s="320">
        <v>0</v>
      </c>
      <c r="I34" s="8"/>
      <c r="AG34" s="370">
        <f t="shared" si="4"/>
        <v>22</v>
      </c>
      <c r="AH34" s="379" t="s">
        <v>99</v>
      </c>
      <c r="AI34" s="559"/>
      <c r="AJ34" s="320">
        <v>4799234.8600000003</v>
      </c>
      <c r="AK34" s="413">
        <v>0</v>
      </c>
      <c r="AL34" s="527">
        <f t="shared" ref="AL34:AL40" si="125">AK34-AJ34</f>
        <v>-4799234.8600000003</v>
      </c>
      <c r="AM34" s="413">
        <f t="shared" ref="AM34:AM40" si="126">AK34</f>
        <v>0</v>
      </c>
      <c r="AN34" s="413">
        <f t="shared" ref="AN34:AN40" si="127">+AM34-AK34</f>
        <v>0</v>
      </c>
      <c r="DO34" s="11"/>
      <c r="DP34" s="12"/>
      <c r="DQ34" s="11"/>
      <c r="DR34" s="219">
        <f t="shared" si="17"/>
        <v>21</v>
      </c>
      <c r="DS34" s="321" t="s">
        <v>80</v>
      </c>
      <c r="DT34" s="321"/>
      <c r="DU34" s="496">
        <f t="shared" ref="DU34:DV34" si="128">-DU30-DU32</f>
        <v>-2445796.0654680519</v>
      </c>
      <c r="DV34" s="496">
        <f t="shared" si="128"/>
        <v>-2449986.4520397154</v>
      </c>
      <c r="DW34" s="496">
        <f>-DW30-DW32</f>
        <v>-4190.3865716636737</v>
      </c>
      <c r="DX34" s="496">
        <f>-DX30-DX32</f>
        <v>-2542840.0583775183</v>
      </c>
      <c r="DY34" s="496">
        <f>-DY30-DY32</f>
        <v>-92853.606337802732</v>
      </c>
      <c r="EX34" s="3"/>
      <c r="FN34" s="248">
        <f t="shared" ref="FN34:FN42" si="129">FN33+1</f>
        <v>21</v>
      </c>
      <c r="FO34" s="346" t="s">
        <v>462</v>
      </c>
      <c r="FP34" s="346"/>
      <c r="FQ34" s="521"/>
      <c r="FR34" s="521"/>
      <c r="FS34" s="521"/>
      <c r="FT34" s="521"/>
      <c r="FU34" s="521"/>
      <c r="GD34" s="402">
        <f t="shared" si="39"/>
        <v>21</v>
      </c>
      <c r="GE34" s="406" t="s">
        <v>386</v>
      </c>
      <c r="GF34" s="560">
        <v>0.66190000000000004</v>
      </c>
      <c r="GG34" s="541"/>
      <c r="GH34" s="541"/>
      <c r="GI34" s="541"/>
      <c r="GJ34" s="561"/>
      <c r="GK34" s="561"/>
      <c r="HR34" s="219"/>
    </row>
    <row r="35" spans="1:226" ht="16.5" customHeight="1" thickTop="1" x14ac:dyDescent="0.3">
      <c r="A35" s="370">
        <f t="shared" si="0"/>
        <v>22</v>
      </c>
      <c r="B35" s="405" t="s">
        <v>450</v>
      </c>
      <c r="C35" s="406"/>
      <c r="D35" s="679"/>
      <c r="E35" s="562"/>
      <c r="F35" s="429">
        <v>-38484066.606061637</v>
      </c>
      <c r="G35" s="673"/>
      <c r="H35" s="320">
        <v>0</v>
      </c>
      <c r="AG35" s="370">
        <f t="shared" si="4"/>
        <v>23</v>
      </c>
      <c r="AH35" s="379" t="s">
        <v>264</v>
      </c>
      <c r="AI35" s="559"/>
      <c r="AJ35" s="320">
        <v>14625833.34</v>
      </c>
      <c r="AK35" s="413">
        <v>0</v>
      </c>
      <c r="AL35" s="527">
        <f t="shared" si="125"/>
        <v>-14625833.34</v>
      </c>
      <c r="AM35" s="413">
        <f t="shared" si="126"/>
        <v>0</v>
      </c>
      <c r="AN35" s="413">
        <f t="shared" si="127"/>
        <v>0</v>
      </c>
      <c r="DO35" s="11"/>
      <c r="DP35" s="12"/>
      <c r="DQ35" s="11"/>
      <c r="EX35" s="3"/>
      <c r="FN35" s="248">
        <f t="shared" si="129"/>
        <v>22</v>
      </c>
      <c r="FO35" s="325" t="s">
        <v>290</v>
      </c>
      <c r="FP35" s="325"/>
      <c r="FQ35" s="333"/>
      <c r="FR35" s="333"/>
      <c r="FS35" s="333">
        <v>0</v>
      </c>
      <c r="FT35" s="333">
        <f>+FT33</f>
        <v>3785590.4420461534</v>
      </c>
      <c r="FU35" s="333">
        <f>FU33</f>
        <v>3785590.4420461534</v>
      </c>
      <c r="GD35" s="402">
        <f t="shared" si="39"/>
        <v>22</v>
      </c>
      <c r="GE35" s="325" t="s">
        <v>290</v>
      </c>
      <c r="GF35" s="325"/>
      <c r="GG35" s="333">
        <v>0</v>
      </c>
      <c r="GH35" s="333">
        <v>0</v>
      </c>
      <c r="GI35" s="333">
        <v>0</v>
      </c>
      <c r="GJ35" s="563">
        <v>8197127.0777284009</v>
      </c>
      <c r="GK35" s="563">
        <f>+GJ35-GI35</f>
        <v>8197127.0777284009</v>
      </c>
      <c r="HR35" s="219"/>
    </row>
    <row r="36" spans="1:226" ht="14.4" x14ac:dyDescent="0.3">
      <c r="A36" s="370">
        <f t="shared" si="0"/>
        <v>23</v>
      </c>
      <c r="B36" s="548" t="s">
        <v>396</v>
      </c>
      <c r="C36" s="373"/>
      <c r="D36" s="485"/>
      <c r="E36" s="485"/>
      <c r="F36" s="486">
        <f t="shared" ref="F36:H36" si="130">SUM(F34:F35)</f>
        <v>-42859497.28055793</v>
      </c>
      <c r="G36" s="485"/>
      <c r="H36" s="485">
        <f t="shared" si="130"/>
        <v>0</v>
      </c>
      <c r="AG36" s="370">
        <f t="shared" si="4"/>
        <v>24</v>
      </c>
      <c r="AH36" s="379" t="s">
        <v>167</v>
      </c>
      <c r="AI36" s="559"/>
      <c r="AJ36" s="320">
        <v>21844083.23184</v>
      </c>
      <c r="AK36" s="413">
        <v>0</v>
      </c>
      <c r="AL36" s="527">
        <f t="shared" si="125"/>
        <v>-21844083.23184</v>
      </c>
      <c r="AM36" s="413">
        <f t="shared" si="126"/>
        <v>0</v>
      </c>
      <c r="AN36" s="413">
        <f t="shared" si="127"/>
        <v>0</v>
      </c>
      <c r="DO36" s="11"/>
      <c r="DP36" s="12"/>
      <c r="DQ36" s="11"/>
      <c r="EX36" s="3"/>
      <c r="FN36" s="248">
        <f t="shared" si="129"/>
        <v>23</v>
      </c>
      <c r="FO36" s="325" t="s">
        <v>462</v>
      </c>
      <c r="FP36" s="325"/>
      <c r="FQ36" s="333"/>
      <c r="FR36" s="333"/>
      <c r="FS36" s="333"/>
      <c r="FT36" s="333"/>
      <c r="FU36" s="333"/>
      <c r="GD36" s="402">
        <f t="shared" si="39"/>
        <v>23</v>
      </c>
      <c r="GE36" s="325"/>
      <c r="GF36" s="325"/>
      <c r="GG36" s="333"/>
      <c r="GH36" s="333"/>
      <c r="GI36" s="333"/>
      <c r="GJ36" s="429"/>
      <c r="GK36" s="429"/>
      <c r="HR36" s="219"/>
    </row>
    <row r="37" spans="1:226" ht="14.4" x14ac:dyDescent="0.3">
      <c r="A37" s="370">
        <f t="shared" si="0"/>
        <v>24</v>
      </c>
      <c r="B37" s="28"/>
      <c r="C37" s="28"/>
      <c r="D37" s="28"/>
      <c r="E37" s="28"/>
      <c r="F37" s="564"/>
      <c r="G37" s="28"/>
      <c r="H37" s="320">
        <f>+'Common Adj'!$AI$21</f>
        <v>0</v>
      </c>
      <c r="AG37" s="370">
        <f t="shared" si="4"/>
        <v>25</v>
      </c>
      <c r="AH37" s="379" t="s">
        <v>265</v>
      </c>
      <c r="AI37" s="559"/>
      <c r="AJ37" s="320">
        <v>-23502295.960000001</v>
      </c>
      <c r="AK37" s="413">
        <v>0</v>
      </c>
      <c r="AL37" s="527">
        <f t="shared" si="125"/>
        <v>23502295.960000001</v>
      </c>
      <c r="AM37" s="413">
        <f t="shared" si="126"/>
        <v>0</v>
      </c>
      <c r="AN37" s="413">
        <f t="shared" si="127"/>
        <v>0</v>
      </c>
      <c r="DO37" s="11"/>
      <c r="DP37" s="12"/>
      <c r="DQ37" s="11"/>
      <c r="FN37" s="248">
        <f t="shared" si="129"/>
        <v>24</v>
      </c>
      <c r="FO37" s="325" t="s">
        <v>97</v>
      </c>
      <c r="FP37" s="462">
        <f>FIT_GAS</f>
        <v>0.21</v>
      </c>
      <c r="FQ37" s="442"/>
      <c r="FR37" s="442"/>
      <c r="FS37" s="442"/>
      <c r="FT37" s="442">
        <f>-FT35*$FP$37</f>
        <v>-794973.9928296922</v>
      </c>
      <c r="FU37" s="442">
        <f>-FU35*$FP$37</f>
        <v>-794973.9928296922</v>
      </c>
      <c r="GD37" s="402">
        <f t="shared" si="39"/>
        <v>24</v>
      </c>
      <c r="GE37" s="325" t="s">
        <v>97</v>
      </c>
      <c r="GF37" s="462">
        <f>FIT_GAS</f>
        <v>0.21</v>
      </c>
      <c r="GG37" s="442">
        <f>-GG35*GC36</f>
        <v>0</v>
      </c>
      <c r="GH37" s="442">
        <f t="shared" ref="GH37" si="131">-GH35*GD37</f>
        <v>0</v>
      </c>
      <c r="GI37" s="442">
        <v>0</v>
      </c>
      <c r="GJ37" s="565">
        <v>-1721396.686322964</v>
      </c>
      <c r="GK37" s="565">
        <f>+GJ37-GI37</f>
        <v>-1721396.686322964</v>
      </c>
      <c r="HR37" s="219"/>
    </row>
    <row r="38" spans="1:226" ht="15" thickBot="1" x14ac:dyDescent="0.35">
      <c r="A38" s="370">
        <f t="shared" si="0"/>
        <v>25</v>
      </c>
      <c r="B38" s="321" t="s">
        <v>92</v>
      </c>
      <c r="C38" s="522">
        <f>'COC, Def, ConvF'!$M$12</f>
        <v>5.1240000000000001E-3</v>
      </c>
      <c r="D38" s="28"/>
      <c r="E38" s="324"/>
      <c r="F38" s="566">
        <f>+$C38*F$31</f>
        <v>-220263.82634213765</v>
      </c>
      <c r="G38" s="324"/>
      <c r="H38" s="320">
        <f>+$C38*H$31</f>
        <v>-50235.68436852</v>
      </c>
      <c r="AG38" s="370">
        <f t="shared" si="4"/>
        <v>26</v>
      </c>
      <c r="AH38" s="379" t="s">
        <v>408</v>
      </c>
      <c r="AI38" s="559"/>
      <c r="AJ38" s="320">
        <v>12000</v>
      </c>
      <c r="AK38" s="413">
        <v>0</v>
      </c>
      <c r="AL38" s="527">
        <f t="shared" si="125"/>
        <v>-12000</v>
      </c>
      <c r="AM38" s="413">
        <f t="shared" si="126"/>
        <v>0</v>
      </c>
      <c r="AN38" s="413">
        <f t="shared" si="127"/>
        <v>0</v>
      </c>
      <c r="DO38" s="11"/>
      <c r="DP38" s="12"/>
      <c r="DQ38" s="11"/>
      <c r="FN38" s="248">
        <f t="shared" si="129"/>
        <v>25</v>
      </c>
      <c r="FO38" s="325" t="s">
        <v>80</v>
      </c>
      <c r="FP38" s="325"/>
      <c r="FQ38" s="491"/>
      <c r="FR38" s="491"/>
      <c r="FS38" s="491"/>
      <c r="FT38" s="491">
        <f>-FT35-FT37</f>
        <v>-2990616.4492164613</v>
      </c>
      <c r="FU38" s="491">
        <f>-FU35-FU37</f>
        <v>-2990616.4492164613</v>
      </c>
      <c r="GD38" s="402">
        <f t="shared" si="39"/>
        <v>25</v>
      </c>
      <c r="GE38" s="325" t="s">
        <v>80</v>
      </c>
      <c r="GF38" s="325"/>
      <c r="GG38" s="567">
        <f t="shared" ref="GG38:GI38" si="132">-GG35-GG37</f>
        <v>0</v>
      </c>
      <c r="GH38" s="567">
        <f t="shared" si="132"/>
        <v>0</v>
      </c>
      <c r="GI38" s="567">
        <f t="shared" si="132"/>
        <v>0</v>
      </c>
      <c r="GJ38" s="568">
        <f>-GJ35-GJ37</f>
        <v>-6475730.3914054371</v>
      </c>
      <c r="GK38" s="568">
        <f>-GK35-GK37</f>
        <v>-6475730.3914054371</v>
      </c>
      <c r="HR38" s="219"/>
    </row>
    <row r="39" spans="1:226" ht="15" thickTop="1" x14ac:dyDescent="0.3">
      <c r="A39" s="370">
        <f t="shared" si="0"/>
        <v>26</v>
      </c>
      <c r="B39" s="321" t="s">
        <v>93</v>
      </c>
      <c r="C39" s="522">
        <f>'COC, Def, ConvF'!$M$13</f>
        <v>2E-3</v>
      </c>
      <c r="D39" s="28"/>
      <c r="E39" s="324"/>
      <c r="F39" s="566">
        <f>+$C39*F$31</f>
        <v>-85973.390453605636</v>
      </c>
      <c r="G39" s="324"/>
      <c r="H39" s="320">
        <f>+$C39*H$31</f>
        <v>-19607.995460000002</v>
      </c>
      <c r="AG39" s="370">
        <f t="shared" si="4"/>
        <v>27</v>
      </c>
      <c r="AH39" s="379" t="s">
        <v>409</v>
      </c>
      <c r="AI39" s="559"/>
      <c r="AJ39" s="320">
        <v>15721.66</v>
      </c>
      <c r="AK39" s="413">
        <v>0</v>
      </c>
      <c r="AL39" s="527">
        <f t="shared" si="125"/>
        <v>-15721.66</v>
      </c>
      <c r="AM39" s="413">
        <f t="shared" si="126"/>
        <v>0</v>
      </c>
      <c r="AN39" s="413">
        <f t="shared" si="127"/>
        <v>0</v>
      </c>
      <c r="DO39" s="11"/>
      <c r="DP39" s="12"/>
      <c r="DQ39" s="11"/>
      <c r="FN39" s="248">
        <f t="shared" si="129"/>
        <v>26</v>
      </c>
      <c r="FO39" s="7" t="s">
        <v>462</v>
      </c>
      <c r="FP39" s="249"/>
      <c r="FQ39" s="249"/>
      <c r="FR39" s="249"/>
      <c r="FS39" s="249"/>
      <c r="FT39" s="249"/>
      <c r="FU39" s="249"/>
    </row>
    <row r="40" spans="1:226" ht="14.4" x14ac:dyDescent="0.3">
      <c r="A40" s="370">
        <f t="shared" si="0"/>
        <v>27</v>
      </c>
      <c r="B40" s="321" t="s">
        <v>95</v>
      </c>
      <c r="C40" s="522">
        <f>'COC, Def, ConvF'!$M$14</f>
        <v>3.8323000000000003E-2</v>
      </c>
      <c r="D40" s="28"/>
      <c r="E40" s="324"/>
      <c r="F40" s="566">
        <f>+$C40*F$31</f>
        <v>-1647379.1211767646</v>
      </c>
      <c r="G40" s="324"/>
      <c r="H40" s="320">
        <f>+$C40*H$31</f>
        <v>-375718.60500679002</v>
      </c>
      <c r="AG40" s="370">
        <f>AG38+1</f>
        <v>27</v>
      </c>
      <c r="AH40" s="379" t="s">
        <v>259</v>
      </c>
      <c r="AI40" s="559"/>
      <c r="AJ40" s="320">
        <v>39993753.130000003</v>
      </c>
      <c r="AK40" s="413">
        <v>0</v>
      </c>
      <c r="AL40" s="569">
        <f t="shared" si="125"/>
        <v>-39993753.130000003</v>
      </c>
      <c r="AM40" s="413">
        <f t="shared" si="126"/>
        <v>0</v>
      </c>
      <c r="AN40" s="413">
        <f t="shared" si="127"/>
        <v>0</v>
      </c>
      <c r="DO40" s="11"/>
      <c r="DP40" s="12"/>
      <c r="DQ40" s="11"/>
      <c r="FN40" s="248">
        <f t="shared" si="129"/>
        <v>27</v>
      </c>
      <c r="FO40" s="570" t="s">
        <v>463</v>
      </c>
      <c r="FP40" s="403"/>
      <c r="FQ40" s="403"/>
      <c r="FR40" s="403"/>
      <c r="FS40" s="249"/>
      <c r="FT40" s="249"/>
      <c r="FU40" s="249"/>
    </row>
    <row r="41" spans="1:226" ht="14.4" x14ac:dyDescent="0.3">
      <c r="A41" s="370">
        <f t="shared" si="0"/>
        <v>28</v>
      </c>
      <c r="B41" s="329" t="s">
        <v>397</v>
      </c>
      <c r="C41" s="329"/>
      <c r="D41" s="571"/>
      <c r="E41" s="330"/>
      <c r="F41" s="572">
        <f t="shared" ref="F41:H41" si="133">SUM(F38:F40)</f>
        <v>-1953616.3379725078</v>
      </c>
      <c r="G41" s="330"/>
      <c r="H41" s="330">
        <f t="shared" si="133"/>
        <v>-445562.28483531001</v>
      </c>
      <c r="AG41" s="370">
        <f t="shared" si="4"/>
        <v>28</v>
      </c>
      <c r="AH41" s="527" t="s">
        <v>102</v>
      </c>
      <c r="AI41" s="527"/>
      <c r="AJ41" s="330">
        <f>SUM(AJ34:AJ40)</f>
        <v>57788330.261840001</v>
      </c>
      <c r="AK41" s="528">
        <f>SUM(AK34:AK40)</f>
        <v>0</v>
      </c>
      <c r="AL41" s="527">
        <f>SUM(AL34:AL40)</f>
        <v>-57788330.261840001</v>
      </c>
      <c r="AM41" s="528">
        <f>SUM(AM34:AM40)</f>
        <v>0</v>
      </c>
      <c r="AN41" s="528">
        <f>SUM(AN34:AN40)</f>
        <v>0</v>
      </c>
      <c r="AO41" s="20"/>
      <c r="DO41" s="11"/>
      <c r="DP41" s="12"/>
      <c r="DQ41" s="11"/>
      <c r="FN41" s="248">
        <f t="shared" si="129"/>
        <v>28</v>
      </c>
      <c r="FO41" s="570" t="s">
        <v>464</v>
      </c>
    </row>
    <row r="42" spans="1:226" x14ac:dyDescent="0.25">
      <c r="A42" s="370">
        <f t="shared" si="0"/>
        <v>29</v>
      </c>
      <c r="B42" s="321"/>
      <c r="C42" s="321"/>
      <c r="D42" s="571"/>
      <c r="E42" s="315"/>
      <c r="F42" s="315"/>
      <c r="G42" s="315"/>
      <c r="H42" s="315"/>
      <c r="AG42" s="370">
        <f t="shared" si="4"/>
        <v>29</v>
      </c>
      <c r="DO42" s="11"/>
      <c r="DP42" s="12"/>
      <c r="DQ42" s="11"/>
      <c r="FN42" s="248">
        <f t="shared" si="129"/>
        <v>29</v>
      </c>
      <c r="FO42" s="570" t="s">
        <v>465</v>
      </c>
    </row>
    <row r="43" spans="1:226" ht="14.4" x14ac:dyDescent="0.3">
      <c r="A43" s="370">
        <f t="shared" si="0"/>
        <v>30</v>
      </c>
      <c r="B43" s="321" t="s">
        <v>249</v>
      </c>
      <c r="C43" s="321"/>
      <c r="D43" s="373"/>
      <c r="E43" s="333"/>
      <c r="F43" s="429">
        <f>+F31-F36-F41</f>
        <v>1826418.3917276198</v>
      </c>
      <c r="G43" s="333"/>
      <c r="H43" s="333">
        <f>+H31-H36-H41</f>
        <v>-9358435.4451646898</v>
      </c>
      <c r="AG43" s="370">
        <f t="shared" si="4"/>
        <v>30</v>
      </c>
      <c r="AH43" s="514" t="s">
        <v>103</v>
      </c>
      <c r="AI43" s="514"/>
      <c r="AJ43" s="527">
        <f>+AJ25-AJ31-AJ41</f>
        <v>1787491.9567277953</v>
      </c>
      <c r="AK43" s="413">
        <f>+AK25-AK31-AK41</f>
        <v>0</v>
      </c>
      <c r="AL43" s="527">
        <f>+AL25-AL31-AL41</f>
        <v>-1787491.9567277953</v>
      </c>
      <c r="AM43" s="413">
        <f t="shared" ref="AM43:AM44" si="134">AK43</f>
        <v>0</v>
      </c>
      <c r="AN43" s="413">
        <f t="shared" ref="AN43:AN44" si="135">+AM43-AK43</f>
        <v>0</v>
      </c>
      <c r="DO43" s="11"/>
      <c r="DP43" s="12"/>
      <c r="DQ43" s="11"/>
    </row>
    <row r="44" spans="1:226" ht="14.4" x14ac:dyDescent="0.3">
      <c r="A44" s="370">
        <f t="shared" si="0"/>
        <v>31</v>
      </c>
      <c r="B44" s="321" t="s">
        <v>97</v>
      </c>
      <c r="C44" s="235">
        <f>FIT_GAS</f>
        <v>0.21</v>
      </c>
      <c r="D44" s="28"/>
      <c r="E44" s="573"/>
      <c r="F44" s="574">
        <f>+$C$44*F43</f>
        <v>383547.86226280016</v>
      </c>
      <c r="G44" s="573"/>
      <c r="H44" s="573">
        <f>+$C$44*H43</f>
        <v>-1965271.4434845848</v>
      </c>
      <c r="AG44" s="370">
        <f t="shared" si="4"/>
        <v>31</v>
      </c>
      <c r="AH44" s="514" t="s">
        <v>495</v>
      </c>
      <c r="AI44" s="462">
        <f>FIT_GAS</f>
        <v>0.21</v>
      </c>
      <c r="AJ44" s="1">
        <f>AJ43*$AI$44</f>
        <v>375373.31091283698</v>
      </c>
      <c r="AK44" s="413">
        <f t="shared" ref="AK44" si="136">AK43*$AI$44</f>
        <v>0</v>
      </c>
      <c r="AL44" s="1">
        <f>AL43*$AI$44</f>
        <v>-375373.31091283698</v>
      </c>
      <c r="AM44" s="413">
        <f t="shared" si="134"/>
        <v>0</v>
      </c>
      <c r="AN44" s="413">
        <f t="shared" si="135"/>
        <v>0</v>
      </c>
      <c r="DO44" s="11"/>
      <c r="DP44" s="12"/>
      <c r="DQ44" s="11"/>
    </row>
    <row r="45" spans="1:226" ht="15" thickBot="1" x14ac:dyDescent="0.35">
      <c r="A45" s="370">
        <f t="shared" si="0"/>
        <v>32</v>
      </c>
      <c r="B45" s="321" t="s">
        <v>80</v>
      </c>
      <c r="C45" s="321"/>
      <c r="D45" s="373"/>
      <c r="E45" s="491"/>
      <c r="F45" s="557">
        <f t="shared" ref="F45:H45" si="137">F43-F44</f>
        <v>1442870.5294648197</v>
      </c>
      <c r="G45" s="491"/>
      <c r="H45" s="491">
        <f t="shared" si="137"/>
        <v>-7393164.001680105</v>
      </c>
      <c r="AG45" s="370">
        <f t="shared" si="4"/>
        <v>32</v>
      </c>
      <c r="AH45" s="514" t="s">
        <v>80</v>
      </c>
      <c r="AI45" s="514"/>
      <c r="AJ45" s="554">
        <f t="shared" ref="AJ45:AK45" si="138">AJ43-AJ44</f>
        <v>1412118.6458149583</v>
      </c>
      <c r="AK45" s="554">
        <f t="shared" si="138"/>
        <v>0</v>
      </c>
      <c r="AL45" s="554">
        <f>AL43-AL44</f>
        <v>-1412118.6458149583</v>
      </c>
      <c r="AM45" s="554">
        <f>AM43-AM44</f>
        <v>0</v>
      </c>
      <c r="AN45" s="554">
        <f>AN43-AN44</f>
        <v>0</v>
      </c>
      <c r="DO45" s="11"/>
      <c r="DP45" s="12"/>
      <c r="DQ45" s="11"/>
    </row>
    <row r="46" spans="1:226" ht="14.4" thickTop="1" x14ac:dyDescent="0.25">
      <c r="A46" s="370">
        <f t="shared" si="0"/>
        <v>33</v>
      </c>
      <c r="B46" s="321"/>
      <c r="C46" s="373"/>
      <c r="D46" s="373"/>
      <c r="E46" s="373"/>
      <c r="F46" s="373"/>
      <c r="G46" s="520"/>
      <c r="AG46" s="370"/>
      <c r="DO46" s="11"/>
      <c r="DP46" s="12"/>
      <c r="DQ46" s="11"/>
    </row>
    <row r="47" spans="1:226" x14ac:dyDescent="0.25">
      <c r="A47" s="370">
        <f t="shared" si="0"/>
        <v>34</v>
      </c>
      <c r="B47" s="3" t="s">
        <v>479</v>
      </c>
      <c r="C47" s="319"/>
      <c r="D47" s="319"/>
      <c r="E47" s="319"/>
      <c r="F47" s="319"/>
      <c r="G47" s="408"/>
      <c r="H47" s="575"/>
      <c r="DO47" s="11"/>
      <c r="DP47" s="12"/>
      <c r="DQ47" s="11"/>
    </row>
    <row r="48" spans="1:226" x14ac:dyDescent="0.25">
      <c r="A48" s="370">
        <f t="shared" si="0"/>
        <v>35</v>
      </c>
      <c r="B48" s="3" t="s">
        <v>480</v>
      </c>
      <c r="C48" s="373"/>
      <c r="D48" s="373"/>
      <c r="E48" s="373"/>
      <c r="F48" s="373"/>
      <c r="G48" s="373"/>
      <c r="H48" s="576"/>
      <c r="DO48" s="11"/>
      <c r="DP48" s="12"/>
      <c r="DQ48" s="11"/>
    </row>
    <row r="49" spans="1:121" x14ac:dyDescent="0.25">
      <c r="A49" s="370"/>
      <c r="B49" s="249"/>
      <c r="C49" s="577"/>
      <c r="D49" s="577"/>
      <c r="E49" s="577"/>
      <c r="F49" s="577"/>
      <c r="G49" s="577"/>
      <c r="H49" s="577"/>
      <c r="DO49" s="11"/>
      <c r="DP49" s="12"/>
      <c r="DQ49" s="11"/>
    </row>
    <row r="51" spans="1:121" x14ac:dyDescent="0.25">
      <c r="I51" s="370"/>
      <c r="J51" s="249"/>
      <c r="K51" s="577"/>
      <c r="L51" s="577"/>
      <c r="M51" s="577"/>
      <c r="N51" s="577"/>
      <c r="O51" s="577"/>
      <c r="P51" s="577"/>
    </row>
    <row r="52" spans="1:121" x14ac:dyDescent="0.25">
      <c r="I52" s="370"/>
      <c r="J52" s="249"/>
      <c r="K52" s="249"/>
      <c r="L52" s="249"/>
      <c r="M52" s="249"/>
      <c r="N52" s="249"/>
      <c r="O52" s="249"/>
      <c r="P52" s="249"/>
    </row>
    <row r="53" spans="1:121" x14ac:dyDescent="0.25">
      <c r="I53" s="370"/>
      <c r="J53" s="249"/>
      <c r="K53" s="577"/>
      <c r="L53" s="577"/>
      <c r="M53" s="577"/>
      <c r="N53" s="577"/>
      <c r="O53" s="577"/>
      <c r="P53" s="577"/>
    </row>
    <row r="54" spans="1:121" x14ac:dyDescent="0.25">
      <c r="I54" s="370"/>
      <c r="J54" s="249"/>
      <c r="K54" s="249"/>
      <c r="L54" s="249"/>
      <c r="M54" s="249"/>
      <c r="N54" s="249"/>
      <c r="O54" s="249"/>
      <c r="P54" s="249"/>
    </row>
    <row r="55" spans="1:121" x14ac:dyDescent="0.25">
      <c r="I55" s="370"/>
      <c r="J55" s="577"/>
      <c r="K55" s="577"/>
      <c r="L55" s="577"/>
      <c r="M55" s="577"/>
      <c r="N55" s="577"/>
      <c r="O55" s="577"/>
      <c r="P55" s="577"/>
    </row>
    <row r="56" spans="1:121" x14ac:dyDescent="0.25">
      <c r="I56" s="370"/>
      <c r="J56" s="577"/>
      <c r="K56" s="577"/>
      <c r="L56" s="577"/>
      <c r="M56" s="577"/>
      <c r="N56" s="577"/>
      <c r="O56" s="577"/>
      <c r="P56" s="577"/>
    </row>
    <row r="57" spans="1:121" x14ac:dyDescent="0.25">
      <c r="I57" s="370"/>
      <c r="J57" s="249"/>
      <c r="K57" s="249"/>
      <c r="L57" s="249"/>
      <c r="M57" s="249"/>
      <c r="N57" s="249"/>
      <c r="O57" s="249"/>
      <c r="P57" s="249"/>
    </row>
    <row r="58" spans="1:121" x14ac:dyDescent="0.25">
      <c r="I58" s="370"/>
      <c r="J58" s="577"/>
      <c r="K58" s="577"/>
      <c r="L58" s="577"/>
      <c r="M58" s="577"/>
      <c r="N58" s="577"/>
      <c r="O58" s="577"/>
      <c r="P58" s="577"/>
    </row>
    <row r="59" spans="1:121" x14ac:dyDescent="0.25">
      <c r="I59" s="370"/>
      <c r="J59" s="577"/>
      <c r="K59" s="577"/>
      <c r="L59" s="577"/>
      <c r="M59" s="577"/>
      <c r="N59" s="577"/>
      <c r="O59" s="577"/>
      <c r="P59" s="577"/>
    </row>
    <row r="60" spans="1:121" x14ac:dyDescent="0.25">
      <c r="I60" s="370"/>
      <c r="J60" s="249"/>
      <c r="K60" s="249"/>
      <c r="L60" s="249"/>
      <c r="M60" s="249"/>
      <c r="N60" s="249"/>
      <c r="O60" s="249"/>
      <c r="P60" s="249"/>
    </row>
    <row r="61" spans="1:121" x14ac:dyDescent="0.25">
      <c r="I61" s="578"/>
      <c r="J61" s="249"/>
      <c r="K61" s="249"/>
      <c r="L61" s="249"/>
      <c r="M61" s="249"/>
      <c r="N61" s="249"/>
      <c r="O61" s="249"/>
      <c r="P61" s="249"/>
    </row>
    <row r="62" spans="1:121" x14ac:dyDescent="0.25">
      <c r="I62" s="578"/>
      <c r="J62" s="577"/>
      <c r="K62" s="577"/>
      <c r="L62" s="577"/>
      <c r="M62" s="577"/>
      <c r="N62" s="577"/>
      <c r="O62" s="577"/>
      <c r="P62" s="577"/>
    </row>
    <row r="63" spans="1:121" x14ac:dyDescent="0.25">
      <c r="I63" s="579"/>
      <c r="J63" s="249"/>
      <c r="K63" s="249"/>
      <c r="L63" s="249"/>
      <c r="M63" s="249"/>
      <c r="N63" s="249"/>
      <c r="O63" s="249"/>
      <c r="P63" s="249"/>
    </row>
    <row r="64" spans="1:121" x14ac:dyDescent="0.25">
      <c r="I64" s="579"/>
      <c r="J64" s="577"/>
      <c r="K64" s="577"/>
      <c r="L64" s="577"/>
      <c r="M64" s="577"/>
      <c r="N64" s="577"/>
      <c r="O64" s="577"/>
      <c r="P64" s="577"/>
    </row>
    <row r="65" spans="9:16" x14ac:dyDescent="0.25">
      <c r="I65" s="579"/>
      <c r="J65" s="249"/>
      <c r="K65" s="249"/>
      <c r="L65" s="249"/>
      <c r="M65" s="249"/>
      <c r="N65" s="249"/>
      <c r="O65" s="249"/>
      <c r="P65" s="249"/>
    </row>
    <row r="66" spans="9:16" x14ac:dyDescent="0.25">
      <c r="I66" s="579"/>
      <c r="J66" s="577"/>
      <c r="K66" s="577"/>
      <c r="L66" s="577"/>
      <c r="M66" s="577"/>
      <c r="N66" s="577"/>
      <c r="O66" s="577"/>
      <c r="P66" s="577"/>
    </row>
    <row r="67" spans="9:16" x14ac:dyDescent="0.25">
      <c r="I67" s="579"/>
      <c r="J67" s="577"/>
      <c r="K67" s="577"/>
      <c r="L67" s="577"/>
      <c r="M67" s="577"/>
      <c r="N67" s="577"/>
      <c r="O67" s="577"/>
      <c r="P67" s="577"/>
    </row>
    <row r="68" spans="9:16" x14ac:dyDescent="0.25">
      <c r="I68" s="579"/>
      <c r="J68" s="577"/>
      <c r="K68" s="577"/>
      <c r="L68" s="577"/>
      <c r="M68" s="577"/>
      <c r="N68" s="577"/>
      <c r="O68" s="577"/>
      <c r="P68" s="577"/>
    </row>
    <row r="69" spans="9:16" x14ac:dyDescent="0.25">
      <c r="I69" s="579"/>
      <c r="J69" s="577"/>
      <c r="K69" s="577"/>
      <c r="L69" s="577"/>
      <c r="M69" s="577"/>
      <c r="N69" s="577"/>
      <c r="O69" s="577"/>
      <c r="P69" s="577"/>
    </row>
    <row r="70" spans="9:16" x14ac:dyDescent="0.25">
      <c r="I70" s="579"/>
      <c r="J70" s="577"/>
      <c r="K70" s="577"/>
      <c r="L70" s="577"/>
      <c r="M70" s="577"/>
      <c r="N70" s="577"/>
      <c r="O70" s="577"/>
      <c r="P70" s="577"/>
    </row>
    <row r="71" spans="9:16" x14ac:dyDescent="0.25">
      <c r="I71" s="579"/>
      <c r="J71" s="577"/>
      <c r="K71" s="577"/>
      <c r="L71" s="577"/>
      <c r="M71" s="577"/>
      <c r="N71" s="577"/>
      <c r="O71" s="577"/>
      <c r="P71" s="577"/>
    </row>
    <row r="72" spans="9:16" x14ac:dyDescent="0.25">
      <c r="I72" s="579"/>
      <c r="J72" s="577"/>
      <c r="K72" s="577"/>
      <c r="L72" s="577"/>
      <c r="M72" s="577"/>
      <c r="N72" s="577"/>
      <c r="O72" s="577"/>
      <c r="P72" s="577"/>
    </row>
    <row r="73" spans="9:16" x14ac:dyDescent="0.25">
      <c r="I73" s="579"/>
      <c r="J73" s="577"/>
      <c r="K73" s="577"/>
      <c r="L73" s="577"/>
      <c r="M73" s="577"/>
      <c r="N73" s="577"/>
      <c r="O73" s="577"/>
      <c r="P73" s="577"/>
    </row>
    <row r="74" spans="9:16" x14ac:dyDescent="0.25">
      <c r="I74" s="579"/>
      <c r="J74" s="577"/>
      <c r="K74" s="577"/>
      <c r="L74" s="577"/>
      <c r="M74" s="577"/>
      <c r="N74" s="577"/>
      <c r="O74" s="577"/>
      <c r="P74" s="577"/>
    </row>
    <row r="75" spans="9:16" x14ac:dyDescent="0.25">
      <c r="I75" s="579"/>
      <c r="J75" s="577"/>
      <c r="K75" s="577"/>
      <c r="L75" s="577"/>
      <c r="M75" s="577"/>
      <c r="N75" s="577"/>
      <c r="O75" s="577"/>
      <c r="P75" s="577"/>
    </row>
    <row r="76" spans="9:16" x14ac:dyDescent="0.25">
      <c r="I76" s="579"/>
      <c r="J76" s="577"/>
      <c r="K76" s="577"/>
      <c r="L76" s="577"/>
      <c r="M76" s="577"/>
      <c r="N76" s="577"/>
      <c r="O76" s="577"/>
      <c r="P76" s="577"/>
    </row>
    <row r="77" spans="9:16" x14ac:dyDescent="0.25">
      <c r="I77" s="579"/>
      <c r="J77" s="577"/>
      <c r="K77" s="577"/>
      <c r="L77" s="577"/>
      <c r="M77" s="577"/>
      <c r="N77" s="577"/>
      <c r="O77" s="577"/>
      <c r="P77" s="577"/>
    </row>
  </sheetData>
  <mergeCells count="36">
    <mergeCell ref="D15:D19"/>
    <mergeCell ref="D23:D28"/>
    <mergeCell ref="G15:G19"/>
    <mergeCell ref="G23:G28"/>
    <mergeCell ref="G33:G35"/>
    <mergeCell ref="D33:D35"/>
    <mergeCell ref="EP5:EW5"/>
    <mergeCell ref="EP7:EW7"/>
    <mergeCell ref="EP8:EW8"/>
    <mergeCell ref="HZ5:IG5"/>
    <mergeCell ref="HZ6:IG6"/>
    <mergeCell ref="HZ7:IG7"/>
    <mergeCell ref="HZ8:IG8"/>
    <mergeCell ref="FN5:FU5"/>
    <mergeCell ref="FN6:FU6"/>
    <mergeCell ref="FN7:FU7"/>
    <mergeCell ref="HB5:HI5"/>
    <mergeCell ref="HB6:HI6"/>
    <mergeCell ref="HB7:HI7"/>
    <mergeCell ref="HB8:HI8"/>
    <mergeCell ref="FN8:FU8"/>
    <mergeCell ref="GL5:GS5"/>
    <mergeCell ref="GL6:GS6"/>
    <mergeCell ref="GL7:GS7"/>
    <mergeCell ref="GL8:GS8"/>
    <mergeCell ref="GD5:GK5"/>
    <mergeCell ref="GD7:GK7"/>
    <mergeCell ref="GD8:GK8"/>
    <mergeCell ref="HR5:HY5"/>
    <mergeCell ref="HR6:HY6"/>
    <mergeCell ref="HR7:HY7"/>
    <mergeCell ref="HR8:HY8"/>
    <mergeCell ref="HJ5:HQ5"/>
    <mergeCell ref="HJ6:HQ6"/>
    <mergeCell ref="HJ7:HQ7"/>
    <mergeCell ref="HJ8:HQ8"/>
  </mergeCells>
  <conditionalFormatting sqref="A1:HY1 IH1:XFD1">
    <cfRule type="cellIs" dxfId="9" priority="3" operator="equal">
      <formula>0</formula>
    </cfRule>
    <cfRule type="cellIs" dxfId="8" priority="4" operator="notEqual">
      <formula>0</formula>
    </cfRule>
  </conditionalFormatting>
  <conditionalFormatting sqref="HZ1:IG1">
    <cfRule type="cellIs" dxfId="7" priority="1" operator="equal">
      <formula>0</formula>
    </cfRule>
    <cfRule type="cellIs" dxfId="6" priority="2" operator="notEqual">
      <formula>0</formula>
    </cfRule>
  </conditionalFormatting>
  <printOptions horizontalCentered="1"/>
  <pageMargins left="0.45" right="0.45" top="0.75" bottom="0.75" header="0.3" footer="0.3"/>
  <pageSetup scale="10" orientation="portrait" r:id="rId1"/>
  <headerFooter>
    <oddFooter>&amp;L&amp;"-,Bold Italic"&amp;10&amp;K0000FFAmounts in bold and italics are different from September 17, 2019 supplemental filing.</oddFooter>
  </headerFooter>
  <customProperties>
    <customPr name="_pios_id" r:id="rId2"/>
    <customPr name="EpmWorksheetKeyString_GUID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="85" zoomScaleNormal="85" workbookViewId="0">
      <pane xSplit="1" ySplit="1" topLeftCell="B11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ColWidth="9.109375" defaultRowHeight="13.2" x14ac:dyDescent="0.25"/>
  <cols>
    <col min="1" max="1" width="5" style="3" bestFit="1" customWidth="1"/>
    <col min="2" max="2" width="36.6640625" style="3" customWidth="1"/>
    <col min="3" max="3" width="9.109375" style="3"/>
    <col min="4" max="5" width="12.5546875" style="3" bestFit="1" customWidth="1"/>
    <col min="6" max="6" width="14" style="3" bestFit="1" customWidth="1"/>
    <col min="7" max="7" width="13" style="3" customWidth="1"/>
    <col min="8" max="8" width="15" style="3" customWidth="1"/>
    <col min="9" max="9" width="9.109375" style="3"/>
    <col min="10" max="10" width="5.33203125" style="3" bestFit="1" customWidth="1"/>
    <col min="11" max="11" width="41.109375" style="3" customWidth="1"/>
    <col min="12" max="12" width="9.109375" style="3"/>
    <col min="13" max="14" width="13.6640625" style="3" bestFit="1" customWidth="1"/>
    <col min="15" max="15" width="13.5546875" style="3" bestFit="1" customWidth="1"/>
    <col min="16" max="16" width="13.6640625" style="3" bestFit="1" customWidth="1"/>
    <col min="17" max="17" width="14.44140625" style="3" customWidth="1"/>
    <col min="18" max="16384" width="9.109375" style="3"/>
  </cols>
  <sheetData>
    <row r="1" spans="1:17" ht="13.8" thickBot="1" x14ac:dyDescent="0.3">
      <c r="A1" s="49">
        <f>SUM(B1:Q1)</f>
        <v>0</v>
      </c>
      <c r="B1" s="49"/>
      <c r="C1" s="49"/>
      <c r="D1" s="49"/>
      <c r="E1" s="49"/>
      <c r="F1" s="49"/>
      <c r="G1" s="49">
        <f>ROUND(+'Detailed Summary'!AT57-H19,0)</f>
        <v>0</v>
      </c>
      <c r="H1" s="49">
        <f>ROUND(+'Detailed Summary'!AT46-H19,0)</f>
        <v>0</v>
      </c>
      <c r="I1" s="49"/>
      <c r="J1" s="49"/>
      <c r="K1" s="49"/>
      <c r="L1" s="49"/>
      <c r="M1" s="49"/>
      <c r="N1" s="49"/>
      <c r="O1" s="49"/>
      <c r="P1" s="49">
        <f>ROUND(+'Detailed Summary'!AU57-Q41,0)</f>
        <v>0</v>
      </c>
      <c r="Q1" s="49">
        <f>ROUND(+'Detailed Summary'!AU44-Q33,0)</f>
        <v>0</v>
      </c>
    </row>
    <row r="2" spans="1:17" x14ac:dyDescent="0.25">
      <c r="G2" s="207"/>
      <c r="H2" s="295" t="str">
        <f>DOCKETNUMBER_GAS</f>
        <v>UG_________</v>
      </c>
      <c r="P2" s="207"/>
      <c r="Q2" s="295" t="str">
        <f>DOCKETNUMBER_GAS</f>
        <v>UG_________</v>
      </c>
    </row>
    <row r="3" spans="1:17" ht="13.8" thickBot="1" x14ac:dyDescent="0.3">
      <c r="G3" s="208"/>
      <c r="H3" s="296" t="s">
        <v>443</v>
      </c>
      <c r="I3" s="297"/>
      <c r="P3" s="208"/>
      <c r="Q3" s="296" t="s">
        <v>444</v>
      </c>
    </row>
    <row r="4" spans="1:17" x14ac:dyDescent="0.25">
      <c r="A4" s="209"/>
      <c r="B4" s="209"/>
      <c r="C4" s="209"/>
      <c r="D4" s="209"/>
      <c r="E4" s="209"/>
      <c r="F4" s="209"/>
      <c r="G4" s="209"/>
      <c r="H4" s="209"/>
      <c r="I4" s="298"/>
      <c r="J4" s="209"/>
      <c r="K4" s="209"/>
      <c r="L4" s="209"/>
      <c r="M4" s="209"/>
      <c r="N4" s="209"/>
      <c r="O4" s="209"/>
      <c r="P4" s="209"/>
      <c r="Q4" s="209"/>
    </row>
    <row r="5" spans="1:17" x14ac:dyDescent="0.25">
      <c r="A5" s="2" t="str">
        <f>Comp_GAS</f>
        <v>PUGET SOUND ENERGY - NATURAL GAS</v>
      </c>
      <c r="B5" s="2"/>
      <c r="C5" s="2"/>
      <c r="D5" s="2"/>
      <c r="E5" s="2"/>
      <c r="F5" s="2"/>
      <c r="G5" s="2"/>
      <c r="H5" s="2"/>
      <c r="I5" s="2"/>
      <c r="J5" s="2" t="str">
        <f>Comp_GAS</f>
        <v>PUGET SOUND ENERGY - NATURAL GAS</v>
      </c>
      <c r="K5" s="2"/>
      <c r="L5" s="2"/>
      <c r="M5" s="2"/>
      <c r="N5" s="2"/>
      <c r="O5" s="2"/>
      <c r="P5" s="2"/>
      <c r="Q5" s="2"/>
    </row>
    <row r="6" spans="1:17" x14ac:dyDescent="0.25">
      <c r="A6" s="299" t="s">
        <v>420</v>
      </c>
      <c r="B6" s="2"/>
      <c r="C6" s="2"/>
      <c r="D6" s="2"/>
      <c r="E6" s="2"/>
      <c r="F6" s="2"/>
      <c r="G6" s="2"/>
      <c r="H6" s="2"/>
      <c r="I6" s="2"/>
      <c r="J6" s="299" t="s">
        <v>429</v>
      </c>
      <c r="K6" s="2"/>
      <c r="L6" s="2"/>
      <c r="M6" s="2"/>
      <c r="N6" s="2"/>
      <c r="O6" s="2"/>
      <c r="P6" s="2"/>
      <c r="Q6" s="2"/>
    </row>
    <row r="7" spans="1:17" x14ac:dyDescent="0.25">
      <c r="A7" s="2" t="str">
        <f>TESTYEAR_GAS</f>
        <v>12 MONTHS ENDED DECEMBER 31, 2018</v>
      </c>
      <c r="B7" s="2"/>
      <c r="C7" s="2"/>
      <c r="D7" s="2"/>
      <c r="E7" s="2"/>
      <c r="F7" s="2"/>
      <c r="G7" s="2"/>
      <c r="H7" s="2"/>
      <c r="I7" s="2"/>
      <c r="J7" s="2" t="str">
        <f>TESTYEAR_GAS</f>
        <v>12 MONTHS ENDED DECEMBER 31, 2018</v>
      </c>
      <c r="K7" s="2"/>
      <c r="L7" s="2"/>
      <c r="M7" s="2"/>
      <c r="N7" s="2"/>
      <c r="O7" s="2"/>
      <c r="P7" s="2"/>
      <c r="Q7" s="2"/>
    </row>
    <row r="8" spans="1:17" ht="13.8" thickBot="1" x14ac:dyDescent="0.3">
      <c r="A8" s="2" t="str">
        <f>CASE_GAS</f>
        <v>2019 GENERAL RATE CASE</v>
      </c>
      <c r="B8" s="2"/>
      <c r="C8" s="2"/>
      <c r="D8" s="2"/>
      <c r="E8" s="2"/>
      <c r="F8" s="2"/>
      <c r="G8" s="2"/>
      <c r="H8" s="2"/>
      <c r="I8" s="2"/>
      <c r="J8" s="2" t="str">
        <f>CASE_GAS</f>
        <v>2019 GENERAL RATE CASE</v>
      </c>
      <c r="K8" s="2"/>
      <c r="L8" s="2"/>
      <c r="M8" s="2"/>
      <c r="N8" s="2"/>
      <c r="O8" s="2"/>
      <c r="P8" s="2"/>
      <c r="Q8" s="2"/>
    </row>
    <row r="9" spans="1:17" ht="13.8" thickBot="1" x14ac:dyDescent="0.3">
      <c r="A9" s="2"/>
      <c r="B9" s="2"/>
      <c r="C9" s="2"/>
      <c r="D9" s="2"/>
      <c r="E9" s="2"/>
      <c r="F9" s="300" t="s">
        <v>373</v>
      </c>
      <c r="G9" s="2"/>
      <c r="H9" s="301" t="s">
        <v>452</v>
      </c>
      <c r="I9" s="2"/>
      <c r="J9" s="2"/>
      <c r="K9" s="2"/>
      <c r="L9" s="2"/>
      <c r="M9" s="2"/>
      <c r="N9" s="2"/>
      <c r="O9" s="300" t="s">
        <v>373</v>
      </c>
      <c r="P9" s="2"/>
      <c r="Q9" s="301" t="s">
        <v>453</v>
      </c>
    </row>
    <row r="10" spans="1:17" x14ac:dyDescent="0.25">
      <c r="C10" s="302"/>
      <c r="D10" s="303" t="s">
        <v>189</v>
      </c>
      <c r="E10" s="304"/>
      <c r="F10" s="305" t="s">
        <v>82</v>
      </c>
      <c r="G10" s="304"/>
      <c r="H10" s="305" t="s">
        <v>78</v>
      </c>
      <c r="I10" s="305"/>
      <c r="L10" s="302"/>
      <c r="M10" s="303" t="s">
        <v>189</v>
      </c>
      <c r="N10" s="304"/>
      <c r="O10" s="305" t="s">
        <v>82</v>
      </c>
      <c r="P10" s="304"/>
      <c r="Q10" s="305" t="s">
        <v>78</v>
      </c>
    </row>
    <row r="11" spans="1:17" x14ac:dyDescent="0.25">
      <c r="A11" s="306" t="s">
        <v>36</v>
      </c>
      <c r="B11" s="307"/>
      <c r="C11" s="308"/>
      <c r="D11" s="305" t="s">
        <v>33</v>
      </c>
      <c r="E11" s="305" t="s">
        <v>82</v>
      </c>
      <c r="F11" s="305" t="s">
        <v>41</v>
      </c>
      <c r="G11" s="305" t="s">
        <v>78</v>
      </c>
      <c r="H11" s="305" t="s">
        <v>41</v>
      </c>
      <c r="I11" s="305"/>
      <c r="J11" s="306" t="s">
        <v>36</v>
      </c>
      <c r="K11" s="307"/>
      <c r="L11" s="308"/>
      <c r="M11" s="305" t="s">
        <v>33</v>
      </c>
      <c r="N11" s="305" t="s">
        <v>82</v>
      </c>
      <c r="O11" s="305" t="s">
        <v>41</v>
      </c>
      <c r="P11" s="305" t="s">
        <v>78</v>
      </c>
      <c r="Q11" s="305" t="s">
        <v>41</v>
      </c>
    </row>
    <row r="12" spans="1:17" x14ac:dyDescent="0.25">
      <c r="A12" s="242" t="s">
        <v>37</v>
      </c>
      <c r="B12" s="309" t="s">
        <v>60</v>
      </c>
      <c r="C12" s="310" t="s">
        <v>186</v>
      </c>
      <c r="D12" s="191" t="s">
        <v>190</v>
      </c>
      <c r="E12" s="311" t="s">
        <v>191</v>
      </c>
      <c r="F12" s="191" t="s">
        <v>192</v>
      </c>
      <c r="G12" s="311" t="s">
        <v>193</v>
      </c>
      <c r="H12" s="191" t="s">
        <v>194</v>
      </c>
      <c r="I12" s="191"/>
      <c r="J12" s="242" t="s">
        <v>37</v>
      </c>
      <c r="K12" s="309" t="s">
        <v>60</v>
      </c>
      <c r="L12" s="310" t="s">
        <v>186</v>
      </c>
      <c r="M12" s="191" t="s">
        <v>190</v>
      </c>
      <c r="N12" s="311" t="s">
        <v>191</v>
      </c>
      <c r="O12" s="191" t="s">
        <v>192</v>
      </c>
      <c r="P12" s="311" t="s">
        <v>193</v>
      </c>
      <c r="Q12" s="191" t="s">
        <v>194</v>
      </c>
    </row>
    <row r="13" spans="1:17" x14ac:dyDescent="0.25">
      <c r="J13" s="312"/>
      <c r="K13" s="312"/>
      <c r="L13" s="312"/>
      <c r="M13" s="312"/>
      <c r="N13" s="312"/>
      <c r="O13" s="312"/>
      <c r="P13" s="312"/>
      <c r="Q13" s="312"/>
    </row>
    <row r="14" spans="1:17" x14ac:dyDescent="0.25">
      <c r="A14" s="219">
        <v>1</v>
      </c>
      <c r="B14" s="313" t="s">
        <v>279</v>
      </c>
      <c r="J14" s="219">
        <v>1</v>
      </c>
      <c r="K14" s="314" t="s">
        <v>274</v>
      </c>
      <c r="M14" s="315"/>
      <c r="N14" s="225"/>
      <c r="O14" s="225"/>
      <c r="P14" s="225"/>
      <c r="Q14" s="225"/>
    </row>
    <row r="15" spans="1:17" x14ac:dyDescent="0.25">
      <c r="A15" s="219">
        <f>+A14+1</f>
        <v>2</v>
      </c>
      <c r="B15" s="316" t="s">
        <v>280</v>
      </c>
      <c r="D15" s="317">
        <v>9377979.3800000008</v>
      </c>
      <c r="E15" s="317">
        <v>9377979.3800000008</v>
      </c>
      <c r="F15" s="317">
        <f>+E15-D15</f>
        <v>0</v>
      </c>
      <c r="G15" s="317">
        <v>0</v>
      </c>
      <c r="H15" s="317">
        <f>+G15-E15</f>
        <v>-9377979.3800000008</v>
      </c>
      <c r="J15" s="219">
        <f>+J14+1</f>
        <v>2</v>
      </c>
      <c r="K15" s="318" t="s">
        <v>275</v>
      </c>
      <c r="M15" s="317">
        <v>6980521.1700718822</v>
      </c>
      <c r="N15" s="317">
        <f>+M15</f>
        <v>6980521.1700718822</v>
      </c>
      <c r="O15" s="317">
        <f>+N15-M15</f>
        <v>0</v>
      </c>
      <c r="P15" s="317">
        <v>0</v>
      </c>
      <c r="Q15" s="317">
        <f>+P15-N15</f>
        <v>-6980521.1700718822</v>
      </c>
    </row>
    <row r="16" spans="1:17" x14ac:dyDescent="0.25">
      <c r="A16" s="219">
        <f t="shared" ref="A16:A26" si="0">+A15+1</f>
        <v>3</v>
      </c>
      <c r="B16" s="319" t="s">
        <v>376</v>
      </c>
      <c r="D16" s="320">
        <v>-39543.813052333338</v>
      </c>
      <c r="E16" s="320">
        <v>-39543.813052333338</v>
      </c>
      <c r="F16" s="320">
        <f t="shared" ref="F16:F17" si="1">+E16-D16</f>
        <v>0</v>
      </c>
      <c r="G16" s="320">
        <v>0</v>
      </c>
      <c r="H16" s="320">
        <f t="shared" ref="H16:H17" si="2">+G16-E16</f>
        <v>39543.813052333338</v>
      </c>
      <c r="J16" s="219">
        <f t="shared" ref="J16:J41" si="3">+J15+1</f>
        <v>3</v>
      </c>
      <c r="K16" s="321"/>
      <c r="M16" s="322"/>
      <c r="N16" s="322"/>
      <c r="O16" s="322"/>
      <c r="P16" s="322"/>
      <c r="Q16" s="322"/>
    </row>
    <row r="17" spans="1:17" x14ac:dyDescent="0.25">
      <c r="A17" s="219">
        <v>4</v>
      </c>
      <c r="B17" s="316" t="s">
        <v>281</v>
      </c>
      <c r="D17" s="320">
        <v>-10924.564479418335</v>
      </c>
      <c r="E17" s="320">
        <v>-10924.564479418335</v>
      </c>
      <c r="F17" s="320">
        <f t="shared" si="1"/>
        <v>0</v>
      </c>
      <c r="G17" s="320">
        <v>0</v>
      </c>
      <c r="H17" s="320">
        <f t="shared" si="2"/>
        <v>10924.564479418335</v>
      </c>
      <c r="J17" s="219">
        <v>4</v>
      </c>
      <c r="K17" s="314" t="s">
        <v>276</v>
      </c>
      <c r="M17" s="323"/>
      <c r="N17" s="323"/>
      <c r="O17" s="323"/>
      <c r="P17" s="323"/>
      <c r="Q17" s="323"/>
    </row>
    <row r="18" spans="1:17" x14ac:dyDescent="0.25">
      <c r="A18" s="219">
        <f t="shared" si="0"/>
        <v>5</v>
      </c>
      <c r="B18" s="316"/>
      <c r="D18" s="193"/>
      <c r="E18" s="193"/>
      <c r="F18" s="193"/>
      <c r="G18" s="193"/>
      <c r="H18" s="193"/>
      <c r="J18" s="219">
        <f t="shared" si="3"/>
        <v>5</v>
      </c>
      <c r="K18" s="249" t="s">
        <v>277</v>
      </c>
      <c r="M18" s="324">
        <v>2616179.6237217812</v>
      </c>
      <c r="N18" s="324">
        <f>+M18</f>
        <v>2616179.6237217812</v>
      </c>
      <c r="O18" s="324">
        <f>+N18-M18</f>
        <v>0</v>
      </c>
      <c r="P18" s="324">
        <v>2616179.6237217835</v>
      </c>
      <c r="Q18" s="324">
        <f t="shared" ref="Q18" si="4">+P18-N18</f>
        <v>0</v>
      </c>
    </row>
    <row r="19" spans="1:17" ht="13.8" thickBot="1" x14ac:dyDescent="0.3">
      <c r="A19" s="219">
        <f t="shared" si="0"/>
        <v>6</v>
      </c>
      <c r="B19" s="325" t="s">
        <v>282</v>
      </c>
      <c r="D19" s="210">
        <f>SUM(D15:D17)</f>
        <v>9327511.0024682488</v>
      </c>
      <c r="E19" s="210">
        <f>SUM(E15:E17)</f>
        <v>9327511.0024682488</v>
      </c>
      <c r="F19" s="210">
        <f>SUM(F15:F17)</f>
        <v>0</v>
      </c>
      <c r="G19" s="210">
        <f>SUM(G15:G17)</f>
        <v>0</v>
      </c>
      <c r="H19" s="210">
        <f>SUM(H15:H17)</f>
        <v>-9327511.0024682488</v>
      </c>
      <c r="J19" s="219">
        <v>6</v>
      </c>
      <c r="K19" s="321"/>
      <c r="M19" s="326"/>
      <c r="N19" s="326"/>
      <c r="O19" s="326"/>
      <c r="P19" s="326"/>
      <c r="Q19" s="326"/>
    </row>
    <row r="20" spans="1:17" ht="13.8" thickTop="1" x14ac:dyDescent="0.25">
      <c r="A20" s="219">
        <f t="shared" si="0"/>
        <v>7</v>
      </c>
      <c r="J20" s="219">
        <f t="shared" si="3"/>
        <v>7</v>
      </c>
      <c r="K20" s="318" t="s">
        <v>278</v>
      </c>
      <c r="M20" s="327">
        <f>SUM(M18:M19)</f>
        <v>2616179.6237217812</v>
      </c>
      <c r="N20" s="327">
        <f t="shared" ref="N20:Q20" si="5">SUM(N18:N19)</f>
        <v>2616179.6237217812</v>
      </c>
      <c r="O20" s="327">
        <f t="shared" si="5"/>
        <v>0</v>
      </c>
      <c r="P20" s="327">
        <f t="shared" si="5"/>
        <v>2616179.6237217835</v>
      </c>
      <c r="Q20" s="327">
        <f t="shared" si="5"/>
        <v>0</v>
      </c>
    </row>
    <row r="21" spans="1:17" x14ac:dyDescent="0.25">
      <c r="A21" s="219">
        <f t="shared" si="0"/>
        <v>8</v>
      </c>
      <c r="B21" s="313" t="s">
        <v>426</v>
      </c>
      <c r="D21" s="4"/>
      <c r="E21" s="4"/>
      <c r="F21" s="4"/>
      <c r="G21" s="4"/>
      <c r="H21" s="4"/>
      <c r="J21" s="219">
        <f t="shared" si="3"/>
        <v>8</v>
      </c>
      <c r="K21" s="318"/>
      <c r="M21" s="327"/>
      <c r="N21" s="327"/>
      <c r="O21" s="327"/>
      <c r="P21" s="327"/>
      <c r="Q21" s="327"/>
    </row>
    <row r="22" spans="1:17" x14ac:dyDescent="0.25">
      <c r="A22" s="219">
        <f t="shared" si="0"/>
        <v>9</v>
      </c>
      <c r="B22" s="316" t="s">
        <v>398</v>
      </c>
      <c r="D22" s="320">
        <v>39543.813052333338</v>
      </c>
      <c r="E22" s="320">
        <f t="shared" ref="E22:E26" si="6">D22</f>
        <v>39543.813052333338</v>
      </c>
      <c r="F22" s="320">
        <f t="shared" ref="F22" si="7">E22-D22</f>
        <v>0</v>
      </c>
      <c r="G22" s="320">
        <v>0</v>
      </c>
      <c r="H22" s="320">
        <f>G22-E22</f>
        <v>-39543.813052333338</v>
      </c>
      <c r="J22" s="219">
        <f t="shared" si="3"/>
        <v>9</v>
      </c>
      <c r="K22" s="321" t="s">
        <v>92</v>
      </c>
      <c r="L22" s="328">
        <f>+'COC, Def, ConvF'!M12</f>
        <v>5.1240000000000001E-3</v>
      </c>
      <c r="M22" s="324">
        <f>+$M$15*L22</f>
        <v>35768.190475448326</v>
      </c>
      <c r="N22" s="324">
        <f>+M22</f>
        <v>35768.190475448326</v>
      </c>
      <c r="O22" s="324">
        <f t="shared" ref="O22:O23" si="8">+N22-M22</f>
        <v>0</v>
      </c>
      <c r="P22" s="324">
        <f>+$P$15*L22</f>
        <v>0</v>
      </c>
      <c r="Q22" s="324">
        <f t="shared" ref="Q22:Q23" si="9">+P22-N22</f>
        <v>-35768.190475448326</v>
      </c>
    </row>
    <row r="23" spans="1:17" x14ac:dyDescent="0.25">
      <c r="A23" s="219">
        <f t="shared" si="0"/>
        <v>10</v>
      </c>
      <c r="B23" s="5"/>
      <c r="D23" s="320"/>
      <c r="E23" s="320"/>
      <c r="F23" s="320"/>
      <c r="G23" s="320"/>
      <c r="H23" s="320"/>
      <c r="J23" s="219">
        <f t="shared" si="3"/>
        <v>10</v>
      </c>
      <c r="K23" s="321" t="s">
        <v>93</v>
      </c>
      <c r="L23" s="328">
        <f>+'COC, Def, ConvF'!M13</f>
        <v>2E-3</v>
      </c>
      <c r="M23" s="324">
        <f>+$M$15*L23</f>
        <v>13961.042340143764</v>
      </c>
      <c r="N23" s="324">
        <f>+M23</f>
        <v>13961.042340143764</v>
      </c>
      <c r="O23" s="324">
        <f t="shared" si="8"/>
        <v>0</v>
      </c>
      <c r="P23" s="324">
        <f>+$P$15*L23</f>
        <v>0</v>
      </c>
      <c r="Q23" s="324">
        <f t="shared" si="9"/>
        <v>-13961.042340143764</v>
      </c>
    </row>
    <row r="24" spans="1:17" x14ac:dyDescent="0.25">
      <c r="A24" s="219">
        <f t="shared" si="0"/>
        <v>11</v>
      </c>
      <c r="B24" s="321" t="s">
        <v>97</v>
      </c>
      <c r="C24" s="6">
        <f>FIT_GAS</f>
        <v>0.21</v>
      </c>
      <c r="D24" s="320">
        <f>-D22*C24</f>
        <v>-8304.2007409900016</v>
      </c>
      <c r="E24" s="320">
        <f>-E22*C24</f>
        <v>-8304.2007409900016</v>
      </c>
      <c r="F24" s="320">
        <f t="shared" ref="F24" si="10">E24-D24</f>
        <v>0</v>
      </c>
      <c r="G24" s="320">
        <v>0</v>
      </c>
      <c r="H24" s="320">
        <f>+G24-E24</f>
        <v>8304.2007409900016</v>
      </c>
      <c r="J24" s="219">
        <f t="shared" si="3"/>
        <v>11</v>
      </c>
      <c r="K24" s="329" t="s">
        <v>94</v>
      </c>
      <c r="L24" s="315"/>
      <c r="M24" s="330">
        <f>SUM(M22:M23)</f>
        <v>49729.232815592091</v>
      </c>
      <c r="N24" s="330">
        <f t="shared" ref="N24:Q24" si="11">SUM(N22:N23)</f>
        <v>49729.232815592091</v>
      </c>
      <c r="O24" s="330">
        <f t="shared" si="11"/>
        <v>0</v>
      </c>
      <c r="P24" s="330">
        <f t="shared" si="11"/>
        <v>0</v>
      </c>
      <c r="Q24" s="330">
        <f t="shared" si="11"/>
        <v>-49729.232815592091</v>
      </c>
    </row>
    <row r="25" spans="1:17" x14ac:dyDescent="0.25">
      <c r="A25" s="219">
        <f t="shared" si="0"/>
        <v>12</v>
      </c>
      <c r="B25" s="321"/>
      <c r="D25" s="331"/>
      <c r="E25" s="331"/>
      <c r="F25" s="331"/>
      <c r="G25" s="331"/>
      <c r="H25" s="331"/>
      <c r="J25" s="219">
        <f t="shared" si="3"/>
        <v>12</v>
      </c>
      <c r="K25" s="321"/>
      <c r="L25" s="249"/>
      <c r="M25" s="249"/>
      <c r="N25" s="249"/>
      <c r="O25" s="249"/>
      <c r="P25" s="249"/>
      <c r="Q25" s="249"/>
    </row>
    <row r="26" spans="1:17" ht="13.8" thickBot="1" x14ac:dyDescent="0.3">
      <c r="A26" s="219">
        <f t="shared" si="0"/>
        <v>13</v>
      </c>
      <c r="B26" s="321" t="s">
        <v>80</v>
      </c>
      <c r="D26" s="210">
        <f>-D22-D24</f>
        <v>-31239.612311343335</v>
      </c>
      <c r="E26" s="210">
        <f t="shared" si="6"/>
        <v>-31239.612311343335</v>
      </c>
      <c r="F26" s="210">
        <f t="shared" ref="F26" si="12">E26-D26</f>
        <v>0</v>
      </c>
      <c r="G26" s="210">
        <v>0</v>
      </c>
      <c r="H26" s="210">
        <f t="shared" ref="H26" si="13">G26-E26</f>
        <v>31239.612311343335</v>
      </c>
      <c r="J26" s="219">
        <f t="shared" si="3"/>
        <v>13</v>
      </c>
      <c r="K26" s="321" t="s">
        <v>95</v>
      </c>
      <c r="L26" s="328">
        <f>+'COC, Def, ConvF'!M14</f>
        <v>3.8323000000000003E-2</v>
      </c>
      <c r="M26" s="324">
        <f>+$M$15*L26</f>
        <v>267514.51280066476</v>
      </c>
      <c r="N26" s="324">
        <f>+M26</f>
        <v>267514.51280066476</v>
      </c>
      <c r="O26" s="324">
        <f>+N26-M26</f>
        <v>0</v>
      </c>
      <c r="P26" s="324">
        <f>+$P$15*L26</f>
        <v>0</v>
      </c>
      <c r="Q26" s="324">
        <f>+P26-N26</f>
        <v>-267514.51280066476</v>
      </c>
    </row>
    <row r="27" spans="1:17" ht="13.8" thickTop="1" x14ac:dyDescent="0.25">
      <c r="J27" s="219">
        <f t="shared" si="3"/>
        <v>14</v>
      </c>
      <c r="K27" s="329"/>
      <c r="L27" s="249"/>
      <c r="M27" s="332"/>
      <c r="N27" s="332"/>
      <c r="O27" s="332"/>
      <c r="P27" s="332"/>
      <c r="Q27" s="332"/>
    </row>
    <row r="28" spans="1:17" x14ac:dyDescent="0.25">
      <c r="J28" s="219">
        <f t="shared" si="3"/>
        <v>15</v>
      </c>
      <c r="K28" s="329" t="s">
        <v>96</v>
      </c>
      <c r="M28" s="333">
        <f>SUM(M24:M27)</f>
        <v>317243.74561625684</v>
      </c>
      <c r="N28" s="333">
        <f t="shared" ref="N28:Q28" si="14">SUM(N24:N27)</f>
        <v>317243.74561625684</v>
      </c>
      <c r="O28" s="333">
        <f t="shared" si="14"/>
        <v>0</v>
      </c>
      <c r="P28" s="333">
        <f t="shared" si="14"/>
        <v>0</v>
      </c>
      <c r="Q28" s="333">
        <f t="shared" si="14"/>
        <v>-317243.74561625684</v>
      </c>
    </row>
    <row r="29" spans="1:17" x14ac:dyDescent="0.25">
      <c r="J29" s="219">
        <f t="shared" si="3"/>
        <v>16</v>
      </c>
      <c r="K29" s="321"/>
      <c r="M29" s="330"/>
      <c r="N29" s="330"/>
      <c r="O29" s="330"/>
      <c r="P29" s="330"/>
      <c r="Q29" s="330"/>
    </row>
    <row r="30" spans="1:17" x14ac:dyDescent="0.25">
      <c r="J30" s="219">
        <f t="shared" si="3"/>
        <v>17</v>
      </c>
      <c r="K30" s="321" t="s">
        <v>79</v>
      </c>
      <c r="M30" s="233">
        <f>+M15-M20-M28</f>
        <v>4047097.8007338443</v>
      </c>
      <c r="N30" s="233">
        <f>+M30</f>
        <v>4047097.8007338443</v>
      </c>
      <c r="O30" s="233">
        <f t="shared" ref="O30:Q30" si="15">+O15-O20-O28</f>
        <v>0</v>
      </c>
      <c r="P30" s="233">
        <f t="shared" si="15"/>
        <v>-2616179.6237217835</v>
      </c>
      <c r="Q30" s="233">
        <f t="shared" si="15"/>
        <v>-6663277.424455625</v>
      </c>
    </row>
    <row r="31" spans="1:17" x14ac:dyDescent="0.25">
      <c r="J31" s="219">
        <f t="shared" si="3"/>
        <v>18</v>
      </c>
      <c r="K31" s="321" t="s">
        <v>97</v>
      </c>
      <c r="L31" s="334">
        <f>+FIT_GAS</f>
        <v>0.21</v>
      </c>
      <c r="M31" s="333">
        <f>+M30*$L$31</f>
        <v>849890.53815410729</v>
      </c>
      <c r="N31" s="333">
        <f>+N30*$L$31</f>
        <v>849890.53815410729</v>
      </c>
      <c r="O31" s="333">
        <f>+O30*$L$31</f>
        <v>0</v>
      </c>
      <c r="P31" s="333">
        <f>+P30*$L$31</f>
        <v>-549397.7209815745</v>
      </c>
      <c r="Q31" s="333">
        <f>+Q30*$L$31</f>
        <v>-1399288.2591356812</v>
      </c>
    </row>
    <row r="32" spans="1:17" x14ac:dyDescent="0.25">
      <c r="J32" s="219">
        <f t="shared" si="3"/>
        <v>19</v>
      </c>
      <c r="K32" s="321"/>
      <c r="M32" s="330"/>
      <c r="N32" s="330"/>
      <c r="O32" s="330"/>
      <c r="P32" s="330"/>
      <c r="Q32" s="330"/>
    </row>
    <row r="33" spans="10:17" ht="13.8" thickBot="1" x14ac:dyDescent="0.3">
      <c r="J33" s="219">
        <f t="shared" si="3"/>
        <v>20</v>
      </c>
      <c r="K33" s="321" t="s">
        <v>80</v>
      </c>
      <c r="M33" s="335">
        <f>M30-M31</f>
        <v>3197207.2625797372</v>
      </c>
      <c r="N33" s="335">
        <f t="shared" ref="N33:Q33" si="16">N30-N31</f>
        <v>3197207.2625797372</v>
      </c>
      <c r="O33" s="335">
        <f t="shared" si="16"/>
        <v>0</v>
      </c>
      <c r="P33" s="335">
        <f t="shared" si="16"/>
        <v>-2066781.9027402089</v>
      </c>
      <c r="Q33" s="335">
        <f t="shared" si="16"/>
        <v>-5263989.1653199438</v>
      </c>
    </row>
    <row r="34" spans="10:17" ht="13.8" thickTop="1" x14ac:dyDescent="0.25">
      <c r="J34" s="219">
        <f t="shared" si="3"/>
        <v>21</v>
      </c>
      <c r="K34" s="249"/>
      <c r="M34" s="315"/>
      <c r="N34" s="315"/>
      <c r="O34" s="315"/>
      <c r="P34" s="315"/>
      <c r="Q34" s="315"/>
    </row>
    <row r="35" spans="10:17" x14ac:dyDescent="0.25">
      <c r="J35" s="219">
        <f t="shared" si="3"/>
        <v>22</v>
      </c>
      <c r="K35" s="249"/>
      <c r="M35" s="315"/>
      <c r="N35" s="315"/>
      <c r="O35" s="315"/>
      <c r="P35" s="315"/>
      <c r="Q35" s="315"/>
    </row>
    <row r="36" spans="10:17" x14ac:dyDescent="0.25">
      <c r="J36" s="219">
        <f t="shared" si="3"/>
        <v>23</v>
      </c>
      <c r="K36" s="314" t="s">
        <v>279</v>
      </c>
      <c r="M36" s="336"/>
      <c r="N36" s="336"/>
      <c r="O36" s="336"/>
      <c r="P36" s="336"/>
      <c r="Q36" s="336"/>
    </row>
    <row r="37" spans="10:17" x14ac:dyDescent="0.25">
      <c r="J37" s="219">
        <f t="shared" si="3"/>
        <v>24</v>
      </c>
      <c r="K37" s="316" t="s">
        <v>280</v>
      </c>
      <c r="M37" s="317">
        <v>105802468.1600001</v>
      </c>
      <c r="N37" s="317">
        <v>105802468.1600001</v>
      </c>
      <c r="O37" s="317">
        <v>0</v>
      </c>
      <c r="P37" s="317">
        <v>105802468.1600001</v>
      </c>
      <c r="Q37" s="317">
        <f t="shared" ref="Q37:Q39" si="17">+P37-N37</f>
        <v>0</v>
      </c>
    </row>
    <row r="38" spans="10:17" x14ac:dyDescent="0.25">
      <c r="J38" s="219">
        <f t="shared" si="3"/>
        <v>25</v>
      </c>
      <c r="K38" s="321" t="s">
        <v>376</v>
      </c>
      <c r="M38" s="324">
        <v>-4408805.5073599108</v>
      </c>
      <c r="N38" s="324">
        <v>-4408805.5073599108</v>
      </c>
      <c r="O38" s="324">
        <v>0</v>
      </c>
      <c r="P38" s="324">
        <v>-10067230.849618189</v>
      </c>
      <c r="Q38" s="324">
        <f t="shared" si="17"/>
        <v>-5658425.3422582783</v>
      </c>
    </row>
    <row r="39" spans="10:17" x14ac:dyDescent="0.25">
      <c r="J39" s="219">
        <f t="shared" si="3"/>
        <v>26</v>
      </c>
      <c r="K39" s="316" t="s">
        <v>281</v>
      </c>
      <c r="M39" s="324">
        <v>-8207637.6737488601</v>
      </c>
      <c r="N39" s="324">
        <v>-8207637.6737488601</v>
      </c>
      <c r="O39" s="324">
        <v>0</v>
      </c>
      <c r="P39" s="324">
        <v>-8937256.0344074257</v>
      </c>
      <c r="Q39" s="324">
        <f t="shared" si="17"/>
        <v>-729618.36065856554</v>
      </c>
    </row>
    <row r="40" spans="10:17" x14ac:dyDescent="0.25">
      <c r="J40" s="219">
        <f t="shared" si="3"/>
        <v>27</v>
      </c>
      <c r="K40" s="316"/>
      <c r="M40" s="331"/>
      <c r="N40" s="331"/>
      <c r="O40" s="331"/>
      <c r="P40" s="331"/>
      <c r="Q40" s="331"/>
    </row>
    <row r="41" spans="10:17" ht="13.8" thickBot="1" x14ac:dyDescent="0.3">
      <c r="J41" s="219">
        <f t="shared" si="3"/>
        <v>28</v>
      </c>
      <c r="K41" s="337" t="s">
        <v>282</v>
      </c>
      <c r="M41" s="335">
        <f>SUM(M37:M39)</f>
        <v>93186024.978891328</v>
      </c>
      <c r="N41" s="335">
        <f>SUM(N37:N39)</f>
        <v>93186024.978891328</v>
      </c>
      <c r="O41" s="335">
        <f>SUM(O37:O39)</f>
        <v>0</v>
      </c>
      <c r="P41" s="335">
        <f>SUM(P37:P39)</f>
        <v>86797981.275974497</v>
      </c>
      <c r="Q41" s="335">
        <f>SUM(Q37:Q39)</f>
        <v>-6388043.7029168438</v>
      </c>
    </row>
    <row r="42" spans="10:17" ht="13.8" thickTop="1" x14ac:dyDescent="0.25"/>
    <row r="43" spans="10:17" x14ac:dyDescent="0.25">
      <c r="M43" s="4"/>
    </row>
  </sheetData>
  <conditionalFormatting sqref="I1">
    <cfRule type="cellIs" dxfId="5" priority="7" operator="equal">
      <formula>0</formula>
    </cfRule>
    <cfRule type="cellIs" dxfId="4" priority="8" operator="notEqual">
      <formula>0</formula>
    </cfRule>
  </conditionalFormatting>
  <conditionalFormatting sqref="J1:Q1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A1:H1">
    <cfRule type="cellIs" dxfId="1" priority="1" operator="equal">
      <formula>0</formula>
    </cfRule>
    <cfRule type="cellIs" dxfId="0" priority="2" operator="notEqual">
      <formula>0</formula>
    </cfRule>
  </conditionalFormatting>
  <pageMargins left="0.7" right="0.7" top="0.75" bottom="0.75" header="0.3" footer="0.3"/>
  <pageSetup scale="35" orientation="portrait" r:id="rId1"/>
  <headerFooter>
    <oddFooter>&amp;L&amp;"-,Bold Italic"&amp;10&amp;K0000FFAmounts in bold and italics are different from September 17, 2019 supplemental filing.</oddFooter>
  </headerFooter>
  <customProperties>
    <customPr name="_pios_id" r:id="rId2"/>
    <customPr name="EpmWorksheetKeyString_GUID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B42" sqref="B42"/>
    </sheetView>
  </sheetViews>
  <sheetFormatPr defaultColWidth="9.109375" defaultRowHeight="14.4" x14ac:dyDescent="0.3"/>
  <cols>
    <col min="1" max="1" width="9.109375" style="159"/>
    <col min="2" max="2" width="15.88671875" style="159" bestFit="1" customWidth="1"/>
    <col min="3" max="3" width="23.5546875" style="159" bestFit="1" customWidth="1"/>
    <col min="4" max="16384" width="9.109375" style="159"/>
  </cols>
  <sheetData>
    <row r="3" spans="2:3" x14ac:dyDescent="0.3">
      <c r="B3" s="159" t="s">
        <v>72</v>
      </c>
      <c r="C3" s="206">
        <v>0.21</v>
      </c>
    </row>
    <row r="4" spans="2:3" x14ac:dyDescent="0.3">
      <c r="B4" s="159" t="s">
        <v>73</v>
      </c>
      <c r="C4" s="159" t="s">
        <v>160</v>
      </c>
    </row>
    <row r="5" spans="2:3" x14ac:dyDescent="0.3">
      <c r="B5" s="159" t="s">
        <v>74</v>
      </c>
      <c r="C5" s="159" t="s">
        <v>195</v>
      </c>
    </row>
    <row r="6" spans="2:3" x14ac:dyDescent="0.3">
      <c r="B6" s="159" t="s">
        <v>75</v>
      </c>
      <c r="C6" s="159" t="s">
        <v>308</v>
      </c>
    </row>
    <row r="7" spans="2:3" x14ac:dyDescent="0.3">
      <c r="B7" s="159" t="s">
        <v>77</v>
      </c>
      <c r="C7" s="159" t="s">
        <v>76</v>
      </c>
    </row>
    <row r="8" spans="2:3" x14ac:dyDescent="0.3">
      <c r="B8" s="159" t="s">
        <v>89</v>
      </c>
      <c r="C8" s="159" t="s">
        <v>431</v>
      </c>
    </row>
    <row r="9" spans="2:3" x14ac:dyDescent="0.3">
      <c r="B9" s="159" t="s">
        <v>90</v>
      </c>
      <c r="C9" s="159" t="s">
        <v>157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973A50-D4E9-4CF3-91FE-2E154F9DCBD5}"/>
</file>

<file path=customXml/itemProps2.xml><?xml version="1.0" encoding="utf-8"?>
<ds:datastoreItem xmlns:ds="http://schemas.openxmlformats.org/officeDocument/2006/customXml" ds:itemID="{653EFAD4-B76E-4B3A-8FB3-265E111B7F3E}"/>
</file>

<file path=customXml/itemProps3.xml><?xml version="1.0" encoding="utf-8"?>
<ds:datastoreItem xmlns:ds="http://schemas.openxmlformats.org/officeDocument/2006/customXml" ds:itemID="{4CCBC08F-837C-4644-9942-A5F2731CB4A3}"/>
</file>

<file path=customXml/itemProps4.xml><?xml version="1.0" encoding="utf-8"?>
<ds:datastoreItem xmlns:ds="http://schemas.openxmlformats.org/officeDocument/2006/customXml" ds:itemID="{55832C39-657B-4487-AC25-B8979D906A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52</vt:i4>
      </vt:variant>
    </vt:vector>
  </HeadingPairs>
  <TitlesOfParts>
    <vt:vector size="62" baseType="lpstr">
      <vt:lpstr>Impacts</vt:lpstr>
      <vt:lpstr>Rllfwd</vt:lpstr>
      <vt:lpstr>COC, Def, ConvF</vt:lpstr>
      <vt:lpstr>COC-Restating</vt:lpstr>
      <vt:lpstr>Summary</vt:lpstr>
      <vt:lpstr>Detailed Summary</vt:lpstr>
      <vt:lpstr>Common Adj</vt:lpstr>
      <vt:lpstr>Gas Adj</vt:lpstr>
      <vt:lpstr>Named Ranges G</vt:lpstr>
      <vt:lpstr>Track diffs for impact</vt:lpstr>
      <vt:lpstr>_AMAtoEOP_RB_G</vt:lpstr>
      <vt:lpstr>_AMI_G</vt:lpstr>
      <vt:lpstr>_AnnualRentExp_G</vt:lpstr>
      <vt:lpstr>_BadDebt_G</vt:lpstr>
      <vt:lpstr>_COC_G</vt:lpstr>
      <vt:lpstr>_ContractEsc_G</vt:lpstr>
      <vt:lpstr>_ConvFact_G</vt:lpstr>
      <vt:lpstr>_D_and_O_G</vt:lpstr>
      <vt:lpstr>_DefGainAndLosses_G</vt:lpstr>
      <vt:lpstr>_DeprRestmt_G</vt:lpstr>
      <vt:lpstr>_EmployeeIns_G</vt:lpstr>
      <vt:lpstr>_EnvRem_G</vt:lpstr>
      <vt:lpstr>_ExciseTax_G</vt:lpstr>
      <vt:lpstr>_FedIncTax_G</vt:lpstr>
      <vt:lpstr>_GreenDirect</vt:lpstr>
      <vt:lpstr>_GTZ_G</vt:lpstr>
      <vt:lpstr>_HRTops_G</vt:lpstr>
      <vt:lpstr>_Incentives_G</vt:lpstr>
      <vt:lpstr>_IntOnCustDep_G</vt:lpstr>
      <vt:lpstr>_InvPlan_G</vt:lpstr>
      <vt:lpstr>_NormInsAndDam_G</vt:lpstr>
      <vt:lpstr>_PassThru_G</vt:lpstr>
      <vt:lpstr>_PaymentProccessing_G</vt:lpstr>
      <vt:lpstr>_PensionPlan_G</vt:lpstr>
      <vt:lpstr>_ProformCRM_G</vt:lpstr>
      <vt:lpstr>_PropAndLiab_G</vt:lpstr>
      <vt:lpstr>_PublicImpr_G</vt:lpstr>
      <vt:lpstr>_RateCaseExp_G</vt:lpstr>
      <vt:lpstr>_RateIncr_G</vt:lpstr>
      <vt:lpstr>_RemoveCRM_G</vt:lpstr>
      <vt:lpstr>_RevAndExp_G</vt:lpstr>
      <vt:lpstr>_TBOPI_G</vt:lpstr>
      <vt:lpstr>_TempNorm_G</vt:lpstr>
      <vt:lpstr>_UnprotectedDFIT_G</vt:lpstr>
      <vt:lpstr>_WageIncr_G</vt:lpstr>
      <vt:lpstr>BD_G</vt:lpstr>
      <vt:lpstr>CASE_GAS</vt:lpstr>
      <vt:lpstr>Comp_GAS</vt:lpstr>
      <vt:lpstr>Conv_Factor_G</vt:lpstr>
      <vt:lpstr>COST_OF_CAPITAL_G</vt:lpstr>
      <vt:lpstr>DOCKETNUMBER_GAS</vt:lpstr>
      <vt:lpstr>EXHIBIT_G</vt:lpstr>
      <vt:lpstr>FF_G</vt:lpstr>
      <vt:lpstr>FIT_GAS</vt:lpstr>
      <vt:lpstr>'Detailed Summary'!Print_Area</vt:lpstr>
      <vt:lpstr>Summary!Print_Area</vt:lpstr>
      <vt:lpstr>'Detailed Summary'!Print_Titles</vt:lpstr>
      <vt:lpstr>Summary!Print_Titles</vt:lpstr>
      <vt:lpstr>RATE_Increase_G</vt:lpstr>
      <vt:lpstr>RY_G</vt:lpstr>
      <vt:lpstr>TESTYEAR_GAS</vt:lpstr>
      <vt:lpstr>UTN_G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Peterson, Pete</cp:lastModifiedBy>
  <cp:lastPrinted>2020-01-03T21:40:03Z</cp:lastPrinted>
  <dcterms:created xsi:type="dcterms:W3CDTF">2015-07-22T17:29:58Z</dcterms:created>
  <dcterms:modified xsi:type="dcterms:W3CDTF">2020-02-28T19:48:31Z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