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sharedStrings.xml" ContentType="application/vnd.openxmlformats-officedocument.spreadsheetml.sharedStrings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worksheets/sheet6.xml" ContentType="application/vnd.openxmlformats-officedocument.spreadsheetml.worksheet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customProperty5.bin" ContentType="application/vnd.openxmlformats-officedocument.spreadsheetml.customProperty"/>
  <Override PartName="/xl/customProperty4.bin" ContentType="application/vnd.openxmlformats-officedocument.spreadsheetml.customProperty"/>
  <Override PartName="/xl/customProperty3.bin" ContentType="application/vnd.openxmlformats-officedocument.spreadsheetml.customProperty"/>
  <Override PartName="/xl/customProperty2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12.bin" ContentType="application/vnd.openxmlformats-officedocument.spreadsheetml.customProperty"/>
  <Override PartName="/xl/customProperty11.bin" ContentType="application/vnd.openxmlformats-officedocument.spreadsheetml.customProperty"/>
  <Override PartName="/xl/customProperty10.bin" ContentType="application/vnd.openxmlformats-officedocument.spreadsheetml.customProperty"/>
  <Override PartName="/xl/customProperty9.bin" ContentType="application/vnd.openxmlformats-officedocument.spreadsheetml.customProperty"/>
  <Override PartName="/xl/customProperty8.bin" ContentType="application/vnd.openxmlformats-officedocument.spreadsheetml.customProperty"/>
  <Override PartName="/xl/customProperty1.bin" ContentType="application/vnd.openxmlformats-officedocument.spreadsheetml.customProperty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J:\GrpRevnu\PUBLIC\# 2019 GRC\Data Requests\Bench Requests\Bench Request No. 011 (proforma updates)\#RevReq-Attrition-COS-Bench-Request-011(R)\"/>
    </mc:Choice>
  </mc:AlternateContent>
  <bookViews>
    <workbookView xWindow="14508" yWindow="7368" windowWidth="4692" windowHeight="3816" tabRatio="775"/>
  </bookViews>
  <sheets>
    <sheet name="Impacts" sheetId="51" r:id="rId1"/>
    <sheet name="Rllfwd" sheetId="50" r:id="rId2"/>
    <sheet name="COC, Def, ConvF" sheetId="42" r:id="rId3"/>
    <sheet name="Summary" sheetId="43" r:id="rId4"/>
    <sheet name="Detailed Summary" sheetId="44" r:id="rId5"/>
    <sheet name="COC-Restating" sheetId="45" r:id="rId6"/>
    <sheet name="Common Adj" sheetId="46" r:id="rId7"/>
    <sheet name="Electric Adj" sheetId="47" r:id="rId8"/>
    <sheet name="Power Cost Bridge to A-1" sheetId="49" r:id="rId9"/>
    <sheet name="admin n tracking==&gt;" sheetId="53" r:id="rId10"/>
    <sheet name="Named Ranges E" sheetId="48" r:id="rId11"/>
    <sheet name="Track diff for Impacts" sheetId="52" r:id="rId12"/>
  </sheets>
  <externalReferences>
    <externalReference r:id="rId13"/>
    <externalReference r:id="rId14"/>
  </externalReferences>
  <definedNames>
    <definedName name="_AMAtoEOP_Depr_E">'Common Adj'!$EO$5:$EV$33</definedName>
    <definedName name="_AMAtoEOP_RB_E">'Common Adj'!$EG$5:$EN$21</definedName>
    <definedName name="_AMI_E">'Common Adj'!$FM$5:$FT$42</definedName>
    <definedName name="_AnnualizeRent_E">'Common Adj'!$FU$5:$GB$33</definedName>
    <definedName name="_BadDebt_E">'Common Adj'!$AW$5:$BD$20</definedName>
    <definedName name="_CreditCardPmt_E">'Common Adj'!$GK$5:$GR$21</definedName>
    <definedName name="_D_And_O_E">'Common Adj'!$BU$5:$CB$22</definedName>
    <definedName name="_DefGain_E">'Common Adj'!$EW$5:$FD$20</definedName>
    <definedName name="_EmplInsurance_E">'Common Adj'!$DY$5:$EF$26</definedName>
    <definedName name="_EnvRemed_E">'Common Adj'!$FE$5:$FL$19</definedName>
    <definedName name="_ExcTax_E">'Common Adj'!$BM$5:$BT$21</definedName>
    <definedName name="_FIT_E">'Common Adj'!$Q$5:$X$17</definedName>
    <definedName name="_GTZ_E">'Common Adj'!$GC$5:$GJ$38</definedName>
    <definedName name="_HRTops">'Common Adj'!$HQ$5:$HX$30</definedName>
    <definedName name="_Incentives_E">'Common Adj'!$BE$5:$BL$30</definedName>
    <definedName name="_InjAndDam_E">'Common Adj'!$AO$5:$AV$22</definedName>
    <definedName name="_IntOnCustDeposits_E">'Common Adj'!$CC$5:$CJ$17</definedName>
    <definedName name="_Investment_E">'Common Adj'!$DQ$5:$DX$34</definedName>
    <definedName name="_Order1">255</definedName>
    <definedName name="_Order2">255</definedName>
    <definedName name="_PassThru_E">'Common Adj'!$AG$5:$AN$52</definedName>
    <definedName name="_Pension_E">'Common Adj'!$CS$5:$CZ$19</definedName>
    <definedName name="_PropAndLiab_E">'Common Adj'!$DA$5:$DH$20</definedName>
    <definedName name="_RateCaseExp_E">'Common Adj'!$CK$5:$CR$24</definedName>
    <definedName name="_Regression_Int">1</definedName>
    <definedName name="_RevAndExp_E">'Common Adj'!$A$5:$H$53</definedName>
    <definedName name="_Shufflton">'Electric Adj'!$CC$2:$CJ$22</definedName>
    <definedName name="_TBOPI_E">'Common Adj'!$Y$5:$AF$24</definedName>
    <definedName name="_TempNorm_E">'Common Adj'!$I$5:$P$32</definedName>
    <definedName name="_UnprotcdFFIT_E">'Common Adj'!$GS$5:$GZ$23</definedName>
    <definedName name="_WageInc_E">'Common Adj'!$DI$5:$DP$30</definedName>
    <definedName name="AccessDatabase">"I:\COMTREL\FINICLE\TradeSummary.mdb"</definedName>
    <definedName name="AS2DocOpenMode">"AS2DocumentEdit"</definedName>
    <definedName name="BD_E">'Common Adj'!$EI$13</definedName>
    <definedName name="CASE">'[1]Named Ranges'!$C$4</definedName>
    <definedName name="CASE_E" localSheetId="0">'[2]Named Ranges E'!$C$4</definedName>
    <definedName name="CASE_E">'Named Ranges E'!$C$4</definedName>
    <definedName name="CBWorkbookPriority">-2060790043</definedName>
    <definedName name="Comp">'[1]Named Ranges'!$C$8</definedName>
    <definedName name="Comp_E" localSheetId="0">'[2]Named Ranges E'!$C$8</definedName>
    <definedName name="Comp_E">'Named Ranges E'!$C$8</definedName>
    <definedName name="Conv_Factor_E">'COC, Def, ConvF'!$I$2:$L$22</definedName>
    <definedName name="COST_OF_CAPITAL_E">'COC, Def, ConvF'!$D$2:$H$23</definedName>
    <definedName name="DOCKETNUMBER">'[1]Named Ranges'!$C$6</definedName>
    <definedName name="DOCKETNUMBER_E" localSheetId="0">'[2]Named Ranges E'!$C$6</definedName>
    <definedName name="DOCKETNUMBER_E">'Named Ranges E'!$C$6</definedName>
    <definedName name="EXHIBIT_E">'Named Ranges E'!$C$7</definedName>
    <definedName name="FF_E">'Common Adj'!$EI$14</definedName>
    <definedName name="FIT">'[1]Named Ranges'!$C$3</definedName>
    <definedName name="FIT_E">'Named Ranges E'!$C$3</definedName>
    <definedName name="HTML_CodePage">1252</definedName>
    <definedName name="HTML_Description">""</definedName>
    <definedName name="HTML_Email">""</definedName>
    <definedName name="HTML_Header">"Sheet1"</definedName>
    <definedName name="HTML_LastUpdate">"10/21/99"</definedName>
    <definedName name="HTML_LineAfter">FALSE</definedName>
    <definedName name="HTML_LineBefore">FALSE</definedName>
    <definedName name="HTML_Name">"Paulette Peoples"</definedName>
    <definedName name="HTML_OBDlg2">TRUE</definedName>
    <definedName name="HTML_OBDlg4">TRUE</definedName>
    <definedName name="HTML_OS">0</definedName>
    <definedName name="HTML_PathFile">"\\Bhincres01\groups\Mkt_Dev\EXECMKTR\RIGS\RigBible\Web NA.htm"</definedName>
    <definedName name="HTML_Title">"Total North America"</definedName>
    <definedName name="_xlnm.Print_Area" localSheetId="4">'Detailed Summary'!$A$1:$BL$64</definedName>
    <definedName name="_xlnm.Print_Area" localSheetId="3">Summary!$A$1:$I$64</definedName>
    <definedName name="_xlnm.Print_Titles" localSheetId="4">'Detailed Summary'!$A:$B,'Detailed Summary'!$1:$12</definedName>
    <definedName name="_xlnm.Print_Titles" localSheetId="3">Summary!$A:$B,Summary!$1:$12</definedName>
    <definedName name="RATE_Increase_E">'COC, Def, ConvF'!$A$2:$C$22</definedName>
    <definedName name="RY_E">'Named Ranges E'!$C$9</definedName>
    <definedName name="SAPBEXhrIndnt">"Wide"</definedName>
    <definedName name="SAPsysID">"708C5W7SBKP804JT78WJ0JNKI"</definedName>
    <definedName name="SAPwbID">"ARS"</definedName>
    <definedName name="TableName">"Dummy"</definedName>
    <definedName name="TESTYEAR">'[1]Named Ranges'!$C$5</definedName>
    <definedName name="TESTYEAR_E" localSheetId="0">'[2]Named Ranges E'!$C$5</definedName>
    <definedName name="TESTYEAR_E">'Named Ranges E'!$C$5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  <definedName name="UTN_E">'Common Adj'!$EI$15</definedName>
  </definedNames>
  <calcPr calcId="162913"/>
</workbook>
</file>

<file path=xl/calcChain.xml><?xml version="1.0" encoding="utf-8"?>
<calcChain xmlns="http://schemas.openxmlformats.org/spreadsheetml/2006/main">
  <c r="G34" i="42" l="1"/>
  <c r="G34" i="50" l="1"/>
  <c r="G33" i="50" l="1"/>
  <c r="G32" i="50" l="1"/>
  <c r="I32" i="50" l="1"/>
  <c r="I33" i="50"/>
  <c r="I34" i="50"/>
  <c r="I35" i="50"/>
  <c r="I36" i="50"/>
  <c r="I37" i="50"/>
  <c r="I38" i="50"/>
  <c r="I39" i="50"/>
  <c r="G31" i="50"/>
  <c r="I31" i="50" s="1"/>
  <c r="G30" i="50"/>
  <c r="I30" i="50" l="1"/>
  <c r="A29" i="50" l="1"/>
  <c r="A30" i="50"/>
  <c r="A31" i="50"/>
  <c r="A32" i="50"/>
  <c r="A33" i="50"/>
  <c r="A34" i="50"/>
  <c r="A35" i="50"/>
  <c r="A36" i="50"/>
  <c r="A37" i="50"/>
  <c r="A38" i="50"/>
  <c r="A39" i="50"/>
  <c r="K37" i="51"/>
  <c r="K38" i="51"/>
  <c r="K39" i="51"/>
  <c r="K40" i="51"/>
  <c r="K41" i="51"/>
  <c r="K42" i="51"/>
  <c r="K43" i="51"/>
  <c r="K44" i="51"/>
  <c r="G29" i="50"/>
  <c r="G28" i="50" l="1"/>
  <c r="D28" i="51" l="1"/>
  <c r="H27" i="50" l="1"/>
  <c r="G27" i="50"/>
  <c r="H25" i="50" l="1"/>
  <c r="D30" i="51" l="1"/>
  <c r="G24" i="50" l="1"/>
  <c r="K32" i="51" l="1"/>
  <c r="T32" i="42" l="1"/>
  <c r="T31" i="42"/>
  <c r="T30" i="42"/>
  <c r="T29" i="42"/>
  <c r="T28" i="42"/>
  <c r="F29" i="51" l="1"/>
  <c r="H29" i="51" s="1"/>
  <c r="A26" i="50" l="1"/>
  <c r="A24" i="50"/>
  <c r="A27" i="50"/>
  <c r="A28" i="50"/>
  <c r="A40" i="50"/>
  <c r="I26" i="50"/>
  <c r="I24" i="50"/>
  <c r="I27" i="50"/>
  <c r="I28" i="50"/>
  <c r="I29" i="50"/>
  <c r="A23" i="50"/>
  <c r="G23" i="50"/>
  <c r="I23" i="50" s="1"/>
  <c r="AW77" i="44" l="1"/>
  <c r="AS77" i="44"/>
  <c r="AP77" i="44"/>
  <c r="AO77" i="44"/>
  <c r="AK77" i="44"/>
  <c r="AC77" i="44"/>
  <c r="Z77" i="44"/>
  <c r="Y77" i="44"/>
  <c r="R77" i="44"/>
  <c r="Q77" i="44"/>
  <c r="M77" i="44"/>
  <c r="J77" i="44"/>
  <c r="I77" i="44"/>
  <c r="E77" i="44"/>
  <c r="BJ76" i="44"/>
  <c r="AE76" i="44"/>
  <c r="BJ74" i="44"/>
  <c r="BJ77" i="44" s="1"/>
  <c r="BD74" i="44"/>
  <c r="BD77" i="44" s="1"/>
  <c r="BC74" i="44"/>
  <c r="BC77" i="44" s="1"/>
  <c r="BB74" i="44"/>
  <c r="BB77" i="44" s="1"/>
  <c r="AZ74" i="44"/>
  <c r="AZ77" i="44" s="1"/>
  <c r="AW74" i="44"/>
  <c r="AU74" i="44"/>
  <c r="AU77" i="44" s="1"/>
  <c r="AS74" i="44"/>
  <c r="AR74" i="44"/>
  <c r="AR77" i="44" s="1"/>
  <c r="AQ74" i="44"/>
  <c r="AQ77" i="44" s="1"/>
  <c r="AP74" i="44"/>
  <c r="AO74" i="44"/>
  <c r="AN74" i="44"/>
  <c r="AN77" i="44" s="1"/>
  <c r="AM74" i="44"/>
  <c r="AM77" i="44" s="1"/>
  <c r="AL74" i="44"/>
  <c r="AL77" i="44" s="1"/>
  <c r="AK74" i="44"/>
  <c r="AJ74" i="44"/>
  <c r="AJ77" i="44" s="1"/>
  <c r="AI74" i="44"/>
  <c r="AI77" i="44" s="1"/>
  <c r="AF74" i="44"/>
  <c r="AF77" i="44" s="1"/>
  <c r="AE74" i="44"/>
  <c r="AE77" i="44" s="1"/>
  <c r="AC74" i="44"/>
  <c r="AB74" i="44"/>
  <c r="AB77" i="44" s="1"/>
  <c r="Z74" i="44"/>
  <c r="Y74" i="44"/>
  <c r="W74" i="44"/>
  <c r="W77" i="44" s="1"/>
  <c r="T74" i="44"/>
  <c r="T77" i="44" s="1"/>
  <c r="S74" i="44"/>
  <c r="S77" i="44" s="1"/>
  <c r="R74" i="44"/>
  <c r="Q74" i="44"/>
  <c r="P74" i="44"/>
  <c r="P77" i="44" s="1"/>
  <c r="O74" i="44"/>
  <c r="O77" i="44" s="1"/>
  <c r="N74" i="44"/>
  <c r="N77" i="44" s="1"/>
  <c r="M74" i="44"/>
  <c r="L74" i="44"/>
  <c r="L77" i="44" s="1"/>
  <c r="K74" i="44"/>
  <c r="K77" i="44" s="1"/>
  <c r="J74" i="44"/>
  <c r="I74" i="44"/>
  <c r="H74" i="44"/>
  <c r="H77" i="44" s="1"/>
  <c r="G74" i="44"/>
  <c r="G77" i="44" s="1"/>
  <c r="F74" i="44"/>
  <c r="F77" i="44" s="1"/>
  <c r="E74" i="44"/>
  <c r="D74" i="44"/>
  <c r="D77" i="44" s="1"/>
  <c r="BJ73" i="44"/>
  <c r="AF73" i="44"/>
  <c r="AF76" i="44" s="1"/>
  <c r="AE73" i="44"/>
  <c r="U73" i="44"/>
  <c r="U76" i="44" s="1"/>
  <c r="AM39" i="42" l="1"/>
  <c r="AM38" i="42"/>
  <c r="AM37" i="42"/>
  <c r="AM35" i="42"/>
  <c r="AM33" i="42"/>
  <c r="AM31" i="42"/>
  <c r="AM29" i="42"/>
  <c r="AM27" i="42"/>
  <c r="AM22" i="42"/>
  <c r="AM19" i="42"/>
  <c r="AM16" i="42"/>
  <c r="AM14" i="42"/>
  <c r="H14" i="50" l="1"/>
  <c r="H15" i="50"/>
  <c r="A14" i="50"/>
  <c r="G14" i="50"/>
  <c r="I14" i="50" s="1"/>
  <c r="A109" i="52" l="1"/>
  <c r="A103" i="52"/>
  <c r="A95" i="52"/>
  <c r="A87" i="52"/>
  <c r="A79" i="52"/>
  <c r="A71" i="52"/>
  <c r="A63" i="52"/>
  <c r="A55" i="52"/>
  <c r="A45" i="52"/>
  <c r="A43" i="52"/>
  <c r="A41" i="52"/>
  <c r="A39" i="52"/>
  <c r="A22" i="52"/>
  <c r="A15" i="52"/>
  <c r="A13" i="52"/>
  <c r="A7" i="52"/>
  <c r="A8" i="52" l="1"/>
  <c r="A9" i="52" l="1"/>
  <c r="K21" i="51"/>
  <c r="A10" i="52" l="1"/>
  <c r="A11" i="52" l="1"/>
  <c r="A12" i="52"/>
  <c r="A14" i="52" l="1"/>
  <c r="A16" i="52"/>
  <c r="G22" i="50"/>
  <c r="A17" i="52" l="1"/>
  <c r="A18" i="52" l="1"/>
  <c r="H19" i="50"/>
  <c r="A19" i="52" l="1"/>
  <c r="A20" i="52" s="1"/>
  <c r="A21" i="52" s="1"/>
  <c r="A23" i="52" s="1"/>
  <c r="A24" i="52" s="1"/>
  <c r="A25" i="52" s="1"/>
  <c r="A26" i="52" s="1"/>
  <c r="A27" i="52" s="1"/>
  <c r="A28" i="52" s="1"/>
  <c r="A29" i="52" s="1"/>
  <c r="A30" i="52" s="1"/>
  <c r="A31" i="52" s="1"/>
  <c r="A32" i="52" s="1"/>
  <c r="A33" i="52" s="1"/>
  <c r="A34" i="52" s="1"/>
  <c r="A35" i="52" s="1"/>
  <c r="A36" i="52" s="1"/>
  <c r="A37" i="52" s="1"/>
  <c r="A38" i="52" s="1"/>
  <c r="A40" i="52" s="1"/>
  <c r="A42" i="52" s="1"/>
  <c r="A44" i="52" s="1"/>
  <c r="A46" i="52" s="1"/>
  <c r="A47" i="52" s="1"/>
  <c r="A49" i="52" l="1"/>
  <c r="A48" i="52"/>
  <c r="A50" i="52" s="1"/>
  <c r="A51" i="52" s="1"/>
  <c r="A52" i="52" s="1"/>
  <c r="A53" i="52" s="1"/>
  <c r="A54" i="52" s="1"/>
  <c r="A56" i="52" s="1"/>
  <c r="A57" i="52" s="1"/>
  <c r="A58" i="52" s="1"/>
  <c r="A59" i="52" s="1"/>
  <c r="A60" i="52" s="1"/>
  <c r="A61" i="52" s="1"/>
  <c r="A62" i="52" s="1"/>
  <c r="A64" i="52" s="1"/>
  <c r="A65" i="52" s="1"/>
  <c r="A66" i="52" s="1"/>
  <c r="A67" i="52" s="1"/>
  <c r="A68" i="52" s="1"/>
  <c r="A69" i="52" s="1"/>
  <c r="A70" i="52" s="1"/>
  <c r="A72" i="52" s="1"/>
  <c r="A73" i="52" s="1"/>
  <c r="A74" i="52" s="1"/>
  <c r="A75" i="52" s="1"/>
  <c r="A76" i="52" s="1"/>
  <c r="A77" i="52" s="1"/>
  <c r="A78" i="52" s="1"/>
  <c r="A80" i="52" s="1"/>
  <c r="A81" i="52" s="1"/>
  <c r="A82" i="52" s="1"/>
  <c r="A83" i="52" s="1"/>
  <c r="A84" i="52" s="1"/>
  <c r="A85" i="52" s="1"/>
  <c r="A86" i="52" s="1"/>
  <c r="A88" i="52" s="1"/>
  <c r="A89" i="52" s="1"/>
  <c r="A90" i="52" s="1"/>
  <c r="A91" i="52" s="1"/>
  <c r="A92" i="52" s="1"/>
  <c r="A93" i="52" s="1"/>
  <c r="A94" i="52" s="1"/>
  <c r="A96" i="52" s="1"/>
  <c r="A97" i="52" s="1"/>
  <c r="A98" i="52" s="1"/>
  <c r="A99" i="52" s="1"/>
  <c r="A100" i="52" s="1"/>
  <c r="A101" i="52" s="1"/>
  <c r="A102" i="52" s="1"/>
  <c r="A104" i="52" l="1"/>
  <c r="A105" i="52"/>
  <c r="A106" i="52" s="1"/>
  <c r="A107" i="52" s="1"/>
  <c r="A108" i="52" s="1"/>
  <c r="A110" i="52" s="1"/>
  <c r="A111" i="52" s="1"/>
  <c r="A112" i="52" s="1"/>
  <c r="A113" i="52" s="1"/>
  <c r="A114" i="52" s="1"/>
  <c r="A115" i="52" s="1"/>
  <c r="A116" i="52" s="1"/>
  <c r="AM23" i="42" l="1"/>
  <c r="AM24" i="42"/>
  <c r="AM25" i="42"/>
  <c r="AM40" i="42"/>
  <c r="CG21" i="47"/>
  <c r="CG20" i="47"/>
  <c r="CI22" i="47"/>
  <c r="CJ20" i="47" l="1"/>
  <c r="BI53" i="44" s="1"/>
  <c r="CG22" i="47"/>
  <c r="CH21" i="47"/>
  <c r="CH22" i="47" s="1"/>
  <c r="CJ21" i="47"/>
  <c r="BI54" i="44" s="1"/>
  <c r="CF22" i="47"/>
  <c r="CJ22" i="47" l="1"/>
  <c r="AS9" i="44" l="1"/>
  <c r="AQ9" i="44"/>
  <c r="V9" i="44"/>
  <c r="U9" i="44"/>
  <c r="T9" i="44"/>
  <c r="S9" i="44"/>
  <c r="R9" i="44"/>
  <c r="Q9" i="44"/>
  <c r="ID9" i="46" l="1"/>
  <c r="IE18" i="46"/>
  <c r="IE20" i="46" s="1"/>
  <c r="IB18" i="46"/>
  <c r="IB20" i="46" s="1"/>
  <c r="IF16" i="46"/>
  <c r="HY15" i="46"/>
  <c r="HY16" i="46" s="1"/>
  <c r="HY17" i="46" s="1"/>
  <c r="HY18" i="46" s="1"/>
  <c r="HY19" i="46" s="1"/>
  <c r="HY20" i="46" s="1"/>
  <c r="HY21" i="46" s="1"/>
  <c r="HY22" i="46" s="1"/>
  <c r="HY23" i="46" s="1"/>
  <c r="HY24" i="46" s="1"/>
  <c r="HY25" i="46" s="1"/>
  <c r="HY26" i="46" s="1"/>
  <c r="HY27" i="46" s="1"/>
  <c r="HY28" i="46" s="1"/>
  <c r="HY29" i="46" s="1"/>
  <c r="HY30" i="46" s="1"/>
  <c r="HY5" i="46"/>
  <c r="IF2" i="46"/>
  <c r="X27" i="44"/>
  <c r="X44" i="44" s="1"/>
  <c r="ID17" i="46" l="1"/>
  <c r="X56" i="44" s="1"/>
  <c r="IF17" i="46"/>
  <c r="IF18" i="46" s="1"/>
  <c r="IC18" i="46"/>
  <c r="IC20" i="46" s="1"/>
  <c r="ID16" i="46"/>
  <c r="ID18" i="46" l="1"/>
  <c r="ID20" i="46" s="1"/>
  <c r="X53" i="44"/>
  <c r="IF20" i="46"/>
  <c r="X59" i="44" l="1"/>
  <c r="X48" i="44" s="1"/>
  <c r="X74" i="44" l="1"/>
  <c r="X77" i="44" s="1"/>
  <c r="CI17" i="47"/>
  <c r="E27" i="51" l="1"/>
  <c r="F27" i="51"/>
  <c r="E26" i="51" l="1"/>
  <c r="CJ10" i="47" l="1"/>
  <c r="CF16" i="47" l="1"/>
  <c r="CG16" i="47" s="1"/>
  <c r="CJ16" i="47" s="1"/>
  <c r="BI42" i="44" s="1"/>
  <c r="CG15" i="47"/>
  <c r="CG17" i="47" l="1"/>
  <c r="CH16" i="47"/>
  <c r="CF17" i="47"/>
  <c r="CJ15" i="47"/>
  <c r="CJ17" i="47" s="1"/>
  <c r="CH15" i="47"/>
  <c r="CH17" i="47" l="1"/>
  <c r="BI36" i="44"/>
  <c r="E25" i="51" l="1"/>
  <c r="E24" i="51" l="1"/>
  <c r="F22" i="51" l="1"/>
  <c r="E22" i="51"/>
  <c r="C22" i="51"/>
  <c r="E46" i="51" l="1"/>
  <c r="C53" i="51" l="1"/>
  <c r="I11" i="51"/>
  <c r="E53" i="51" l="1"/>
  <c r="G9" i="50" l="1"/>
  <c r="G41" i="50"/>
  <c r="I41" i="50" s="1"/>
  <c r="A41" i="50"/>
  <c r="G40" i="50"/>
  <c r="I40" i="50" s="1"/>
  <c r="G25" i="50"/>
  <c r="I25" i="50" s="1"/>
  <c r="A25" i="50"/>
  <c r="I22" i="50"/>
  <c r="A22" i="50"/>
  <c r="G21" i="50"/>
  <c r="I21" i="50" s="1"/>
  <c r="A21" i="50"/>
  <c r="G20" i="50"/>
  <c r="I20" i="50" s="1"/>
  <c r="A20" i="50"/>
  <c r="G19" i="50"/>
  <c r="A19" i="50"/>
  <c r="G18" i="50"/>
  <c r="I18" i="50" s="1"/>
  <c r="A18" i="50"/>
  <c r="G17" i="50"/>
  <c r="I17" i="50" s="1"/>
  <c r="A17" i="50"/>
  <c r="A16" i="50"/>
  <c r="G15" i="50"/>
  <c r="I15" i="50" s="1"/>
  <c r="A15" i="50"/>
  <c r="G13" i="50"/>
  <c r="A13" i="50"/>
  <c r="G12" i="50"/>
  <c r="I12" i="50" s="1"/>
  <c r="A12" i="50"/>
  <c r="A11" i="50"/>
  <c r="G10" i="50"/>
  <c r="A10" i="50"/>
  <c r="A9" i="50"/>
  <c r="G8" i="50"/>
  <c r="I8" i="50" s="1"/>
  <c r="A8" i="50"/>
  <c r="I9" i="50" l="1"/>
  <c r="I13" i="50"/>
  <c r="E42" i="50"/>
  <c r="I19" i="50"/>
  <c r="I10" i="50"/>
  <c r="H42" i="50"/>
  <c r="G11" i="50"/>
  <c r="I11" i="50" s="1"/>
  <c r="G16" i="50"/>
  <c r="I16" i="50" s="1"/>
  <c r="G42" i="50" l="1"/>
  <c r="I42" i="50" s="1"/>
  <c r="N13" i="42" l="1"/>
  <c r="N14" i="42" s="1"/>
  <c r="I26" i="49" l="1"/>
  <c r="J26" i="49" s="1"/>
  <c r="I25" i="49"/>
  <c r="J25" i="49" s="1"/>
  <c r="H21" i="49"/>
  <c r="G21" i="49"/>
  <c r="A12" i="49"/>
  <c r="A13" i="49" s="1"/>
  <c r="A14" i="49" s="1"/>
  <c r="A15" i="49" s="1"/>
  <c r="A16" i="49" s="1"/>
  <c r="A17" i="49" s="1"/>
  <c r="A18" i="49" s="1"/>
  <c r="A19" i="49" s="1"/>
  <c r="A20" i="49" s="1"/>
  <c r="A21" i="49" s="1"/>
  <c r="A22" i="49" s="1"/>
  <c r="A23" i="49" s="1"/>
  <c r="A24" i="49" s="1"/>
  <c r="A25" i="49" s="1"/>
  <c r="A26" i="49" s="1"/>
  <c r="A27" i="49" s="1"/>
  <c r="A28" i="49" s="1"/>
  <c r="J6" i="49"/>
  <c r="G28" i="49" l="1"/>
  <c r="H28" i="49"/>
  <c r="I24" i="49"/>
  <c r="J24" i="49" s="1"/>
  <c r="X9" i="42" l="1"/>
  <c r="AB9" i="42"/>
  <c r="Y15" i="42"/>
  <c r="AB15" i="42"/>
  <c r="Y18" i="42"/>
  <c r="AB18" i="42"/>
  <c r="Y19" i="42"/>
  <c r="AB19" i="42"/>
  <c r="Y20" i="42"/>
  <c r="AA20" i="42"/>
  <c r="Y21" i="42"/>
  <c r="AA21" i="42"/>
  <c r="Y22" i="42"/>
  <c r="AA22" i="42"/>
  <c r="Y23" i="42"/>
  <c r="AB23" i="42"/>
  <c r="Y24" i="42"/>
  <c r="AA24" i="42"/>
  <c r="Y25" i="42"/>
  <c r="AB25" i="42"/>
  <c r="Y26" i="42"/>
  <c r="AB26" i="42"/>
  <c r="Y27" i="42"/>
  <c r="AB27" i="42"/>
  <c r="Y28" i="42"/>
  <c r="AA28" i="42"/>
  <c r="Y29" i="42"/>
  <c r="AA29" i="42"/>
  <c r="Y30" i="42"/>
  <c r="AB30" i="42"/>
  <c r="Y31" i="42"/>
  <c r="AB31" i="42"/>
  <c r="Y32" i="42"/>
  <c r="AA32" i="42"/>
  <c r="Y33" i="42"/>
  <c r="AA33" i="42"/>
  <c r="Y34" i="42"/>
  <c r="AA34" i="42"/>
  <c r="Y35" i="42"/>
  <c r="AA35" i="42"/>
  <c r="Y38" i="42"/>
  <c r="AA38" i="42" s="1"/>
  <c r="AB38" i="42" s="1"/>
  <c r="AD6" i="42"/>
  <c r="AD7" i="42"/>
  <c r="AD8" i="42"/>
  <c r="AH9" i="42"/>
  <c r="AD10" i="42"/>
  <c r="X16" i="42" s="1"/>
  <c r="AE18" i="42"/>
  <c r="AH18" i="42"/>
  <c r="AE19" i="42"/>
  <c r="AH19" i="42"/>
  <c r="AD20" i="42"/>
  <c r="AE20" i="42" s="1"/>
  <c r="AG20" i="42"/>
  <c r="AD21" i="42"/>
  <c r="AG21" i="42" s="1"/>
  <c r="AD22" i="42"/>
  <c r="AE22" i="42" s="1"/>
  <c r="AD24" i="42"/>
  <c r="AG24" i="42" s="1"/>
  <c r="AE26" i="42"/>
  <c r="AH26" i="42"/>
  <c r="AE27" i="42"/>
  <c r="AH27" i="42"/>
  <c r="AD28" i="42"/>
  <c r="AG28" i="42" s="1"/>
  <c r="AD29" i="42"/>
  <c r="AE29" i="42" s="1"/>
  <c r="AE30" i="42"/>
  <c r="AH30" i="42"/>
  <c r="AE31" i="42"/>
  <c r="AH31" i="42"/>
  <c r="AD32" i="42"/>
  <c r="AG32" i="42" s="1"/>
  <c r="AD33" i="42"/>
  <c r="AG33" i="42" s="1"/>
  <c r="AD34" i="42"/>
  <c r="AE34" i="42" s="1"/>
  <c r="V35" i="42"/>
  <c r="V36" i="42" s="1"/>
  <c r="V37" i="42" s="1"/>
  <c r="V38" i="42" s="1"/>
  <c r="V39" i="42" s="1"/>
  <c r="V40" i="42" s="1"/>
  <c r="V41" i="42" s="1"/>
  <c r="V44" i="42" s="1"/>
  <c r="V45" i="42" s="1"/>
  <c r="V46" i="42" s="1"/>
  <c r="V47" i="42" s="1"/>
  <c r="V48" i="42" s="1"/>
  <c r="AD35" i="42"/>
  <c r="AG35" i="42" s="1"/>
  <c r="AD38" i="42"/>
  <c r="AE38" i="42" s="1"/>
  <c r="AG38" i="42" s="1"/>
  <c r="AH38" i="42" s="1"/>
  <c r="N15" i="42"/>
  <c r="N16" i="42" s="1"/>
  <c r="Q13" i="42"/>
  <c r="Q14" i="42" s="1"/>
  <c r="Q15" i="42" s="1"/>
  <c r="Q16" i="42" s="1"/>
  <c r="Q17" i="42" s="1"/>
  <c r="Q18" i="42" s="1"/>
  <c r="Q5" i="42"/>
  <c r="Q4" i="42"/>
  <c r="T15" i="42"/>
  <c r="N5" i="42"/>
  <c r="N4" i="42"/>
  <c r="AD15" i="42" l="1"/>
  <c r="AE28" i="42"/>
  <c r="AB37" i="42"/>
  <c r="AB45" i="42" s="1"/>
  <c r="AG22" i="42"/>
  <c r="Y16" i="42"/>
  <c r="AA16" i="42"/>
  <c r="AD14" i="42"/>
  <c r="AG14" i="42" s="1"/>
  <c r="X17" i="42"/>
  <c r="X14" i="42"/>
  <c r="T13" i="42"/>
  <c r="AG29" i="42"/>
  <c r="AD17" i="42"/>
  <c r="AE17" i="42" s="1"/>
  <c r="AD16" i="42"/>
  <c r="AG16" i="42" s="1"/>
  <c r="AG34" i="42"/>
  <c r="AE32" i="42"/>
  <c r="AD25" i="42"/>
  <c r="AH25" i="42" s="1"/>
  <c r="AE35" i="42"/>
  <c r="AE24" i="42"/>
  <c r="AH15" i="42"/>
  <c r="AE15" i="42"/>
  <c r="AE33" i="42"/>
  <c r="AE21" i="42"/>
  <c r="AD9" i="42"/>
  <c r="AD23" i="42"/>
  <c r="AE25" i="42" l="1"/>
  <c r="AE14" i="42"/>
  <c r="AB39" i="42"/>
  <c r="AB46" i="42" s="1"/>
  <c r="AE16" i="42"/>
  <c r="AG17" i="42"/>
  <c r="AG37" i="42" s="1"/>
  <c r="AG39" i="42" s="1"/>
  <c r="AG46" i="42" s="1"/>
  <c r="Y14" i="42"/>
  <c r="AA14" i="42"/>
  <c r="X37" i="42"/>
  <c r="X39" i="42" s="1"/>
  <c r="Y17" i="42"/>
  <c r="AA17" i="42"/>
  <c r="AE23" i="42"/>
  <c r="AH23" i="42"/>
  <c r="AH37" i="42" s="1"/>
  <c r="AD37" i="42"/>
  <c r="AD39" i="42" s="1"/>
  <c r="AE37" i="42" l="1"/>
  <c r="AE39" i="42" s="1"/>
  <c r="AG45" i="42"/>
  <c r="AA37" i="42"/>
  <c r="Y37" i="42"/>
  <c r="Y39" i="42" s="1"/>
  <c r="AH45" i="42"/>
  <c r="AE45" i="42" s="1"/>
  <c r="T12" i="42"/>
  <c r="T14" i="42" s="1"/>
  <c r="T16" i="42" s="1"/>
  <c r="AH39" i="42"/>
  <c r="AH46" i="42" s="1"/>
  <c r="AE46" i="42" s="1"/>
  <c r="AA45" i="42" l="1"/>
  <c r="Y45" i="42" s="1"/>
  <c r="AA39" i="42"/>
  <c r="AA46" i="42" s="1"/>
  <c r="Y46" i="42" s="1"/>
  <c r="HQ5" i="46" l="1"/>
  <c r="HI5" i="46"/>
  <c r="HA5" i="46"/>
  <c r="GS5" i="46"/>
  <c r="GK5" i="46"/>
  <c r="GC5" i="46"/>
  <c r="FU5" i="46"/>
  <c r="BQ24" i="47" l="1"/>
  <c r="BQ26" i="47" s="1"/>
  <c r="BP24" i="47"/>
  <c r="BP26" i="47" s="1"/>
  <c r="H2" i="47" l="1"/>
  <c r="Q5" i="46"/>
  <c r="B66" i="47"/>
  <c r="B65" i="47"/>
  <c r="B64" i="47"/>
  <c r="AS48" i="47"/>
  <c r="AT48" i="47" s="1"/>
  <c r="AS47" i="47"/>
  <c r="AS46" i="47"/>
  <c r="AT46" i="47" s="1"/>
  <c r="AS45" i="47"/>
  <c r="AS44" i="47"/>
  <c r="AT44" i="47" s="1"/>
  <c r="AS43" i="47"/>
  <c r="AS42" i="47"/>
  <c r="AT42" i="47" s="1"/>
  <c r="AS41" i="47"/>
  <c r="AS37" i="47"/>
  <c r="AS34" i="47"/>
  <c r="AS33" i="47"/>
  <c r="AS32" i="47"/>
  <c r="H32" i="47"/>
  <c r="AZ32" i="47"/>
  <c r="W26" i="47"/>
  <c r="X26" i="47" s="1"/>
  <c r="BK25" i="47"/>
  <c r="CA24" i="47"/>
  <c r="CA26" i="47" s="1"/>
  <c r="BZ24" i="47"/>
  <c r="BZ26" i="47" s="1"/>
  <c r="BY24" i="47"/>
  <c r="BY26" i="47" s="1"/>
  <c r="BX24" i="47"/>
  <c r="BX26" i="47" s="1"/>
  <c r="BS24" i="47"/>
  <c r="BS26" i="47" s="1"/>
  <c r="BR23" i="47"/>
  <c r="BR24" i="47" s="1"/>
  <c r="BR26" i="47" s="1"/>
  <c r="T24" i="47"/>
  <c r="AK21" i="47"/>
  <c r="AL21" i="47" s="1"/>
  <c r="BP20" i="47"/>
  <c r="BR20" i="47" s="1"/>
  <c r="BK20" i="47"/>
  <c r="BC20" i="47"/>
  <c r="BD20" i="47" s="1"/>
  <c r="BQ19" i="47"/>
  <c r="BR19" i="47" s="1"/>
  <c r="BI19" i="47"/>
  <c r="BQ18" i="47"/>
  <c r="BR18" i="47" s="1"/>
  <c r="W18" i="47"/>
  <c r="X18" i="47" s="1"/>
  <c r="BQ17" i="47"/>
  <c r="AM17" i="47"/>
  <c r="AN17" i="47" s="1"/>
  <c r="AE17" i="47"/>
  <c r="AE19" i="47" s="1"/>
  <c r="AC17" i="47"/>
  <c r="AC19" i="47" s="1"/>
  <c r="W17" i="47"/>
  <c r="X17" i="47" s="1"/>
  <c r="Q17" i="47"/>
  <c r="Q18" i="47" s="1"/>
  <c r="Q19" i="47" s="1"/>
  <c r="Q20" i="47" s="1"/>
  <c r="Q21" i="47" s="1"/>
  <c r="Q22" i="47" s="1"/>
  <c r="Q23" i="47" s="1"/>
  <c r="Q24" i="47" s="1"/>
  <c r="Q25" i="47" s="1"/>
  <c r="Q26" i="47" s="1"/>
  <c r="Q27" i="47" s="1"/>
  <c r="I17" i="47"/>
  <c r="I18" i="47" s="1"/>
  <c r="I19" i="47" s="1"/>
  <c r="I20" i="47" s="1"/>
  <c r="I21" i="47" s="1"/>
  <c r="I22" i="47" s="1"/>
  <c r="BU16" i="47"/>
  <c r="BU17" i="47" s="1"/>
  <c r="BU18" i="47" s="1"/>
  <c r="BU19" i="47" s="1"/>
  <c r="BU20" i="47" s="1"/>
  <c r="BU21" i="47" s="1"/>
  <c r="BU22" i="47" s="1"/>
  <c r="BU23" i="47" s="1"/>
  <c r="BU24" i="47" s="1"/>
  <c r="BU25" i="47" s="1"/>
  <c r="BU26" i="47" s="1"/>
  <c r="BU27" i="47" s="1"/>
  <c r="BU28" i="47" s="1"/>
  <c r="BU29" i="47" s="1"/>
  <c r="BE16" i="47"/>
  <c r="BE17" i="47" s="1"/>
  <c r="BE18" i="47" s="1"/>
  <c r="BE19" i="47" s="1"/>
  <c r="BE20" i="47" s="1"/>
  <c r="BE21" i="47" s="1"/>
  <c r="BE22" i="47" s="1"/>
  <c r="BE23" i="47" s="1"/>
  <c r="BE24" i="47" s="1"/>
  <c r="BE25" i="47" s="1"/>
  <c r="BE26" i="47" s="1"/>
  <c r="BE27" i="47" s="1"/>
  <c r="BE28" i="47" s="1"/>
  <c r="AW16" i="47"/>
  <c r="AW17" i="47" s="1"/>
  <c r="AW18" i="47" s="1"/>
  <c r="AW19" i="47" s="1"/>
  <c r="AW20" i="47" s="1"/>
  <c r="AW21" i="47" s="1"/>
  <c r="AW22" i="47" s="1"/>
  <c r="AW23" i="47" s="1"/>
  <c r="AW24" i="47" s="1"/>
  <c r="AW25" i="47" s="1"/>
  <c r="AW26" i="47" s="1"/>
  <c r="AW27" i="47" s="1"/>
  <c r="AW28" i="47" s="1"/>
  <c r="AW29" i="47" s="1"/>
  <c r="AW30" i="47" s="1"/>
  <c r="AW31" i="47" s="1"/>
  <c r="AW32" i="47" s="1"/>
  <c r="AW33" i="47" s="1"/>
  <c r="AW34" i="47" s="1"/>
  <c r="AW35" i="47" s="1"/>
  <c r="AO16" i="47"/>
  <c r="AO17" i="47" s="1"/>
  <c r="AO18" i="47" s="1"/>
  <c r="AO19" i="47" s="1"/>
  <c r="AO20" i="47" s="1"/>
  <c r="AO21" i="47" s="1"/>
  <c r="AO22" i="47" s="1"/>
  <c r="AO23" i="47" s="1"/>
  <c r="AO24" i="47" s="1"/>
  <c r="AO25" i="47" s="1"/>
  <c r="AO26" i="47" s="1"/>
  <c r="AO27" i="47" s="1"/>
  <c r="AO28" i="47" s="1"/>
  <c r="AO29" i="47" s="1"/>
  <c r="AO30" i="47" s="1"/>
  <c r="AO31" i="47" s="1"/>
  <c r="AO32" i="47" s="1"/>
  <c r="AO33" i="47" s="1"/>
  <c r="AO34" i="47" s="1"/>
  <c r="AO35" i="47" s="1"/>
  <c r="AO36" i="47" s="1"/>
  <c r="AO37" i="47" s="1"/>
  <c r="AO38" i="47" s="1"/>
  <c r="AO39" i="47" s="1"/>
  <c r="AO40" i="47" s="1"/>
  <c r="AO41" i="47" s="1"/>
  <c r="AO42" i="47" s="1"/>
  <c r="AO43" i="47" s="1"/>
  <c r="AO44" i="47" s="1"/>
  <c r="AO45" i="47" s="1"/>
  <c r="AO46" i="47" s="1"/>
  <c r="AO47" i="47" s="1"/>
  <c r="AO48" i="47" s="1"/>
  <c r="AO49" i="47" s="1"/>
  <c r="AO50" i="47" s="1"/>
  <c r="AO51" i="47" s="1"/>
  <c r="AO52" i="47" s="1"/>
  <c r="AO53" i="47" s="1"/>
  <c r="AO54" i="47" s="1"/>
  <c r="AO55" i="47" s="1"/>
  <c r="AO56" i="47" s="1"/>
  <c r="AO57" i="47" s="1"/>
  <c r="AO58" i="47" s="1"/>
  <c r="AO59" i="47" s="1"/>
  <c r="AO60" i="47" s="1"/>
  <c r="AO61" i="47" s="1"/>
  <c r="AO62" i="47" s="1"/>
  <c r="AO63" i="47" s="1"/>
  <c r="Y16" i="47"/>
  <c r="Y17" i="47" s="1"/>
  <c r="Y18" i="47" s="1"/>
  <c r="Y19" i="47" s="1"/>
  <c r="Y20" i="47" s="1"/>
  <c r="Y21" i="47" s="1"/>
  <c r="Y22" i="47" s="1"/>
  <c r="Y23" i="47" s="1"/>
  <c r="Q16" i="47"/>
  <c r="O17" i="47"/>
  <c r="I16" i="47"/>
  <c r="A16" i="47"/>
  <c r="A17" i="47" s="1"/>
  <c r="A18" i="47" s="1"/>
  <c r="A19" i="47" s="1"/>
  <c r="A20" i="47" s="1"/>
  <c r="A21" i="47" s="1"/>
  <c r="A22" i="47" s="1"/>
  <c r="A23" i="47" s="1"/>
  <c r="A24" i="47" s="1"/>
  <c r="A25" i="47" s="1"/>
  <c r="A26" i="47" s="1"/>
  <c r="A27" i="47" s="1"/>
  <c r="A28" i="47" s="1"/>
  <c r="A29" i="47" s="1"/>
  <c r="A30" i="47" s="1"/>
  <c r="A31" i="47" s="1"/>
  <c r="A32" i="47" s="1"/>
  <c r="A33" i="47" s="1"/>
  <c r="A34" i="47" s="1"/>
  <c r="A35" i="47" s="1"/>
  <c r="A36" i="47" s="1"/>
  <c r="A37" i="47" s="1"/>
  <c r="CC16" i="47"/>
  <c r="CC17" i="47" s="1"/>
  <c r="CC18" i="47" s="1"/>
  <c r="CC19" i="47" s="1"/>
  <c r="CC20" i="47" s="1"/>
  <c r="CC21" i="47" s="1"/>
  <c r="AF15" i="47"/>
  <c r="AF17" i="47" s="1"/>
  <c r="AF19" i="47" s="1"/>
  <c r="CB10" i="47"/>
  <c r="BT10" i="47"/>
  <c r="BL10" i="47"/>
  <c r="F10" i="47"/>
  <c r="BU9" i="47"/>
  <c r="BM9" i="47"/>
  <c r="BE9" i="47"/>
  <c r="AW9" i="47"/>
  <c r="AO9" i="47"/>
  <c r="AG9" i="47"/>
  <c r="Z9" i="47"/>
  <c r="R9" i="47"/>
  <c r="J9" i="47"/>
  <c r="B9" i="47"/>
  <c r="BU8" i="47"/>
  <c r="BM8" i="47"/>
  <c r="BE8" i="47"/>
  <c r="AW8" i="47"/>
  <c r="AO8" i="47"/>
  <c r="AG8" i="47"/>
  <c r="Z8" i="47"/>
  <c r="R8" i="47"/>
  <c r="J8" i="47"/>
  <c r="B8" i="47"/>
  <c r="CJ2" i="47"/>
  <c r="CB2" i="47"/>
  <c r="BT2" i="47"/>
  <c r="BL2" i="47"/>
  <c r="BD2" i="47"/>
  <c r="AV2" i="47"/>
  <c r="AN2" i="47"/>
  <c r="AF2" i="47"/>
  <c r="X2" i="47"/>
  <c r="P2" i="47"/>
  <c r="AM46" i="46"/>
  <c r="AN46" i="46" s="1"/>
  <c r="AM44" i="46"/>
  <c r="AN44" i="46" s="1"/>
  <c r="AM41" i="46"/>
  <c r="AN41" i="46" s="1"/>
  <c r="AM40" i="46"/>
  <c r="AN40" i="46" s="1"/>
  <c r="AM39" i="46"/>
  <c r="AN39" i="46" s="1"/>
  <c r="H39" i="46"/>
  <c r="GH38" i="46"/>
  <c r="GG38" i="46"/>
  <c r="GF38" i="46"/>
  <c r="AM38" i="46"/>
  <c r="AN38" i="46" s="1"/>
  <c r="AE37" i="46"/>
  <c r="GH33" i="46"/>
  <c r="GG33" i="46"/>
  <c r="GF33" i="46"/>
  <c r="FQ33" i="46"/>
  <c r="FP33" i="46"/>
  <c r="GJ32" i="46"/>
  <c r="AM32" i="46"/>
  <c r="AN32" i="46" s="1"/>
  <c r="GJ31" i="46"/>
  <c r="AM31" i="46"/>
  <c r="AN31" i="46" s="1"/>
  <c r="GJ30" i="46"/>
  <c r="AV37" i="44" s="1"/>
  <c r="E15" i="44"/>
  <c r="AM26" i="46"/>
  <c r="AN26" i="46" s="1"/>
  <c r="GH25" i="46"/>
  <c r="AO41" i="44"/>
  <c r="HF24" i="46"/>
  <c r="HE24" i="46"/>
  <c r="HD24" i="46"/>
  <c r="FQ24" i="46"/>
  <c r="FP24" i="46"/>
  <c r="GJ23" i="46"/>
  <c r="AM23" i="46"/>
  <c r="AN23" i="46" s="1"/>
  <c r="K35" i="44"/>
  <c r="AM22" i="46"/>
  <c r="AN22" i="46" s="1"/>
  <c r="HF21" i="46"/>
  <c r="AM21" i="46"/>
  <c r="AN21" i="46" s="1"/>
  <c r="EU20" i="46"/>
  <c r="EV20" i="46" s="1"/>
  <c r="AM20" i="46"/>
  <c r="AN20" i="46" s="1"/>
  <c r="GY20" i="46"/>
  <c r="GY23" i="46" s="1"/>
  <c r="GV20" i="46"/>
  <c r="GV23" i="46" s="1"/>
  <c r="GH19" i="46"/>
  <c r="GH27" i="46" s="1"/>
  <c r="FQ19" i="46"/>
  <c r="FP19" i="46"/>
  <c r="K32" i="44"/>
  <c r="AU19" i="46"/>
  <c r="AV19" i="46" s="1"/>
  <c r="HD18" i="46"/>
  <c r="HF18" i="46" s="1"/>
  <c r="GJ18" i="46"/>
  <c r="K31" i="44"/>
  <c r="HE17" i="46"/>
  <c r="HF17" i="46" s="1"/>
  <c r="GJ17" i="46"/>
  <c r="AV54" i="44" s="1"/>
  <c r="AT54" i="44"/>
  <c r="K30" i="44"/>
  <c r="AM17" i="46"/>
  <c r="AN17" i="46" s="1"/>
  <c r="HE16" i="46"/>
  <c r="HF16" i="46" s="1"/>
  <c r="GJ16" i="46"/>
  <c r="AV53" i="44" s="1"/>
  <c r="CF16" i="46"/>
  <c r="K29" i="44"/>
  <c r="HQ15" i="46"/>
  <c r="HQ16" i="46" s="1"/>
  <c r="HQ17" i="46" s="1"/>
  <c r="HQ18" i="46" s="1"/>
  <c r="HQ19" i="46" s="1"/>
  <c r="HQ20" i="46" s="1"/>
  <c r="HQ21" i="46" s="1"/>
  <c r="HQ22" i="46" s="1"/>
  <c r="HQ23" i="46" s="1"/>
  <c r="HQ24" i="46" s="1"/>
  <c r="HQ25" i="46" s="1"/>
  <c r="HQ26" i="46" s="1"/>
  <c r="HQ27" i="46" s="1"/>
  <c r="HQ28" i="46" s="1"/>
  <c r="HQ29" i="46" s="1"/>
  <c r="HQ30" i="46" s="1"/>
  <c r="HI15" i="46"/>
  <c r="HI16" i="46" s="1"/>
  <c r="HI17" i="46" s="1"/>
  <c r="HI18" i="46" s="1"/>
  <c r="HI19" i="46" s="1"/>
  <c r="HI20" i="46" s="1"/>
  <c r="HI21" i="46" s="1"/>
  <c r="HE15" i="46"/>
  <c r="HF15" i="46" s="1"/>
  <c r="GV16" i="46"/>
  <c r="GS15" i="46"/>
  <c r="GS16" i="46" s="1"/>
  <c r="GS17" i="46" s="1"/>
  <c r="GS18" i="46" s="1"/>
  <c r="GS19" i="46" s="1"/>
  <c r="GS20" i="46" s="1"/>
  <c r="GS21" i="46" s="1"/>
  <c r="GS22" i="46" s="1"/>
  <c r="GS23" i="46" s="1"/>
  <c r="GQ17" i="46"/>
  <c r="GO17" i="46"/>
  <c r="GN17" i="46"/>
  <c r="GK15" i="46"/>
  <c r="GK16" i="46" s="1"/>
  <c r="GK17" i="46" s="1"/>
  <c r="GK18" i="46" s="1"/>
  <c r="GK19" i="46" s="1"/>
  <c r="GK20" i="46" s="1"/>
  <c r="GC15" i="46"/>
  <c r="GC16" i="46" s="1"/>
  <c r="GC17" i="46" s="1"/>
  <c r="GC18" i="46" s="1"/>
  <c r="GC19" i="46" s="1"/>
  <c r="GC20" i="46" s="1"/>
  <c r="GC21" i="46" s="1"/>
  <c r="GC22" i="46" s="1"/>
  <c r="GC23" i="46" s="1"/>
  <c r="GC24" i="46" s="1"/>
  <c r="GC25" i="46" s="1"/>
  <c r="GC26" i="46" s="1"/>
  <c r="GC27" i="46" s="1"/>
  <c r="GC28" i="46" s="1"/>
  <c r="GC29" i="46" s="1"/>
  <c r="GC30" i="46" s="1"/>
  <c r="GC31" i="46" s="1"/>
  <c r="GC32" i="46" s="1"/>
  <c r="GC33" i="46" s="1"/>
  <c r="GC34" i="46" s="1"/>
  <c r="GC35" i="46" s="1"/>
  <c r="GC36" i="46" s="1"/>
  <c r="GC37" i="46" s="1"/>
  <c r="GC38" i="46" s="1"/>
  <c r="FM15" i="46"/>
  <c r="FM16" i="46" s="1"/>
  <c r="FM17" i="46" s="1"/>
  <c r="FM18" i="46" s="1"/>
  <c r="FM19" i="46" s="1"/>
  <c r="FM20" i="46" s="1"/>
  <c r="FM21" i="46" s="1"/>
  <c r="FM22" i="46" s="1"/>
  <c r="FM23" i="46" s="1"/>
  <c r="FM24" i="46" s="1"/>
  <c r="FM25" i="46" s="1"/>
  <c r="FM26" i="46" s="1"/>
  <c r="FM27" i="46" s="1"/>
  <c r="FM28" i="46" s="1"/>
  <c r="FM29" i="46" s="1"/>
  <c r="FM30" i="46" s="1"/>
  <c r="FM31" i="46" s="1"/>
  <c r="FM32" i="46" s="1"/>
  <c r="FM33" i="46" s="1"/>
  <c r="FM34" i="46" s="1"/>
  <c r="FM35" i="46" s="1"/>
  <c r="FM36" i="46" s="1"/>
  <c r="FM37" i="46" s="1"/>
  <c r="FM38" i="46" s="1"/>
  <c r="FM39" i="46" s="1"/>
  <c r="FM40" i="46" s="1"/>
  <c r="FM41" i="46" s="1"/>
  <c r="FM42" i="46" s="1"/>
  <c r="FK16" i="46"/>
  <c r="FI16" i="46"/>
  <c r="FH16" i="46"/>
  <c r="FE15" i="46"/>
  <c r="FE16" i="46" s="1"/>
  <c r="FE17" i="46" s="1"/>
  <c r="FE18" i="46" s="1"/>
  <c r="FE19" i="46" s="1"/>
  <c r="FC17" i="46"/>
  <c r="EZ17" i="46"/>
  <c r="EW15" i="46"/>
  <c r="EW16" i="46" s="1"/>
  <c r="EW17" i="46" s="1"/>
  <c r="EW18" i="46" s="1"/>
  <c r="EW19" i="46" s="1"/>
  <c r="EW20" i="46" s="1"/>
  <c r="EO15" i="46"/>
  <c r="EO16" i="46" s="1"/>
  <c r="EO17" i="46" s="1"/>
  <c r="EO18" i="46" s="1"/>
  <c r="EO19" i="46" s="1"/>
  <c r="EO20" i="46" s="1"/>
  <c r="EO21" i="46" s="1"/>
  <c r="EO22" i="46" s="1"/>
  <c r="EO23" i="46" s="1"/>
  <c r="EO24" i="46" s="1"/>
  <c r="EO25" i="46" s="1"/>
  <c r="EO26" i="46" s="1"/>
  <c r="EO27" i="46" s="1"/>
  <c r="EO28" i="46" s="1"/>
  <c r="EO29" i="46" s="1"/>
  <c r="EO30" i="46" s="1"/>
  <c r="EO31" i="46" s="1"/>
  <c r="EO32" i="46" s="1"/>
  <c r="EG15" i="46"/>
  <c r="EG16" i="46" s="1"/>
  <c r="EG17" i="46" s="1"/>
  <c r="EG18" i="46" s="1"/>
  <c r="EG19" i="46" s="1"/>
  <c r="EG20" i="46" s="1"/>
  <c r="DQ15" i="46"/>
  <c r="DQ16" i="46" s="1"/>
  <c r="DQ17" i="46" s="1"/>
  <c r="DQ18" i="46" s="1"/>
  <c r="DQ19" i="46" s="1"/>
  <c r="DQ20" i="46" s="1"/>
  <c r="DQ21" i="46" s="1"/>
  <c r="DQ22" i="46" s="1"/>
  <c r="DQ23" i="46" s="1"/>
  <c r="DQ24" i="46" s="1"/>
  <c r="DQ25" i="46" s="1"/>
  <c r="DQ26" i="46" s="1"/>
  <c r="DQ27" i="46" s="1"/>
  <c r="DQ28" i="46" s="1"/>
  <c r="DQ29" i="46" s="1"/>
  <c r="DQ30" i="46" s="1"/>
  <c r="DQ31" i="46" s="1"/>
  <c r="DQ32" i="46" s="1"/>
  <c r="DQ33" i="46" s="1"/>
  <c r="DQ34" i="46" s="1"/>
  <c r="DI15" i="46"/>
  <c r="DI16" i="46" s="1"/>
  <c r="DI17" i="46" s="1"/>
  <c r="DI18" i="46" s="1"/>
  <c r="DI19" i="46" s="1"/>
  <c r="DI20" i="46" s="1"/>
  <c r="DI21" i="46" s="1"/>
  <c r="DI22" i="46" s="1"/>
  <c r="DI23" i="46" s="1"/>
  <c r="DI24" i="46" s="1"/>
  <c r="DI25" i="46" s="1"/>
  <c r="DI26" i="46" s="1"/>
  <c r="DI27" i="46" s="1"/>
  <c r="DI28" i="46" s="1"/>
  <c r="DI29" i="46" s="1"/>
  <c r="DI30" i="46" s="1"/>
  <c r="DA15" i="46"/>
  <c r="DA16" i="46" s="1"/>
  <c r="DA17" i="46" s="1"/>
  <c r="DA18" i="46" s="1"/>
  <c r="DA19" i="46" s="1"/>
  <c r="CS15" i="46"/>
  <c r="CS16" i="46" s="1"/>
  <c r="CS17" i="46" s="1"/>
  <c r="CS18" i="46" s="1"/>
  <c r="CK15" i="46"/>
  <c r="CK16" i="46" s="1"/>
  <c r="CK17" i="46" s="1"/>
  <c r="CK18" i="46" s="1"/>
  <c r="CK19" i="46" s="1"/>
  <c r="CK20" i="46" s="1"/>
  <c r="CK21" i="46" s="1"/>
  <c r="CK22" i="46" s="1"/>
  <c r="CK23" i="46" s="1"/>
  <c r="CC15" i="46"/>
  <c r="CC16" i="46" s="1"/>
  <c r="BU15" i="46"/>
  <c r="BU16" i="46" s="1"/>
  <c r="BU17" i="46" s="1"/>
  <c r="BU18" i="46" s="1"/>
  <c r="BU19" i="46" s="1"/>
  <c r="BU20" i="46" s="1"/>
  <c r="BU21" i="46" s="1"/>
  <c r="K24" i="44"/>
  <c r="BE15" i="46"/>
  <c r="BE16" i="46" s="1"/>
  <c r="BE17" i="46" s="1"/>
  <c r="BE18" i="46" s="1"/>
  <c r="BE19" i="46" s="1"/>
  <c r="BE20" i="46" s="1"/>
  <c r="BE21" i="46" s="1"/>
  <c r="BE22" i="46" s="1"/>
  <c r="BE23" i="46" s="1"/>
  <c r="BE24" i="46" s="1"/>
  <c r="BE25" i="46" s="1"/>
  <c r="BE26" i="46" s="1"/>
  <c r="BE27" i="46" s="1"/>
  <c r="BE28" i="46" s="1"/>
  <c r="BE29" i="46" s="1"/>
  <c r="BA17" i="46"/>
  <c r="AZ17" i="46"/>
  <c r="M12" i="42"/>
  <c r="AW15" i="46"/>
  <c r="AW16" i="46" s="1"/>
  <c r="AW17" i="46" s="1"/>
  <c r="AW18" i="46" s="1"/>
  <c r="AW19" i="46" s="1"/>
  <c r="AU15" i="46"/>
  <c r="AV15" i="46" s="1"/>
  <c r="AO15" i="46"/>
  <c r="AO16" i="46" s="1"/>
  <c r="AO17" i="46" s="1"/>
  <c r="AO18" i="46" s="1"/>
  <c r="AO19" i="46" s="1"/>
  <c r="AO20" i="46" s="1"/>
  <c r="AO21" i="46" s="1"/>
  <c r="Y15" i="46"/>
  <c r="Y16" i="46" s="1"/>
  <c r="Y17" i="46" s="1"/>
  <c r="Y18" i="46" s="1"/>
  <c r="Y19" i="46" s="1"/>
  <c r="Y20" i="46" s="1"/>
  <c r="Y21" i="46" s="1"/>
  <c r="Y22" i="46" s="1"/>
  <c r="W15" i="46"/>
  <c r="X15" i="46" s="1"/>
  <c r="Q15" i="46"/>
  <c r="Q16" i="46" s="1"/>
  <c r="A15" i="46"/>
  <c r="A16" i="46" s="1"/>
  <c r="A17" i="46" s="1"/>
  <c r="A18" i="46" s="1"/>
  <c r="A19" i="46" s="1"/>
  <c r="A20" i="46" s="1"/>
  <c r="A21" i="46" s="1"/>
  <c r="A22" i="46" s="1"/>
  <c r="A23" i="46" s="1"/>
  <c r="A24" i="46" s="1"/>
  <c r="A25" i="46" s="1"/>
  <c r="A26" i="46" s="1"/>
  <c r="A27" i="46" s="1"/>
  <c r="A28" i="46" s="1"/>
  <c r="A29" i="46" s="1"/>
  <c r="A30" i="46" s="1"/>
  <c r="A31" i="46" s="1"/>
  <c r="A32" i="46" s="1"/>
  <c r="A33" i="46" s="1"/>
  <c r="A34" i="46" s="1"/>
  <c r="A35" i="46" s="1"/>
  <c r="A36" i="46" s="1"/>
  <c r="A37" i="46" s="1"/>
  <c r="A38" i="46" s="1"/>
  <c r="A39" i="46" s="1"/>
  <c r="A40" i="46" s="1"/>
  <c r="A41" i="46" s="1"/>
  <c r="A42" i="46" s="1"/>
  <c r="A43" i="46" s="1"/>
  <c r="A44" i="46" s="1"/>
  <c r="A45" i="46" s="1"/>
  <c r="A46" i="46" s="1"/>
  <c r="A47" i="46" s="1"/>
  <c r="A48" i="46" s="1"/>
  <c r="A49" i="46" s="1"/>
  <c r="A50" i="46" s="1"/>
  <c r="A51" i="46" s="1"/>
  <c r="A52" i="46" s="1"/>
  <c r="A53" i="46" s="1"/>
  <c r="CY14" i="46"/>
  <c r="CV15" i="46"/>
  <c r="CG16" i="46"/>
  <c r="BY16" i="46"/>
  <c r="BY18" i="46" s="1"/>
  <c r="BX16" i="46"/>
  <c r="BX18" i="46" s="1"/>
  <c r="AU14" i="46"/>
  <c r="AG14" i="46"/>
  <c r="AG15" i="46" s="1"/>
  <c r="AG16" i="46" s="1"/>
  <c r="AG17" i="46" s="1"/>
  <c r="AG18" i="46" s="1"/>
  <c r="AG19" i="46" s="1"/>
  <c r="AG20" i="46" s="1"/>
  <c r="AG21" i="46" s="1"/>
  <c r="AG22" i="46" s="1"/>
  <c r="AG23" i="46" s="1"/>
  <c r="AG24" i="46" s="1"/>
  <c r="AG25" i="46" s="1"/>
  <c r="AG26" i="46" s="1"/>
  <c r="AG27" i="46" s="1"/>
  <c r="AG28" i="46" s="1"/>
  <c r="AG29" i="46" s="1"/>
  <c r="AG30" i="46" s="1"/>
  <c r="AG31" i="46" s="1"/>
  <c r="AG32" i="46" s="1"/>
  <c r="AG33" i="46" s="1"/>
  <c r="AG34" i="46" s="1"/>
  <c r="AG35" i="46" s="1"/>
  <c r="AG36" i="46" s="1"/>
  <c r="AG37" i="46" s="1"/>
  <c r="AG38" i="46" s="1"/>
  <c r="AG39" i="46" s="1"/>
  <c r="AG40" i="46" s="1"/>
  <c r="AG41" i="46" s="1"/>
  <c r="AG42" i="46" s="1"/>
  <c r="AG43" i="46" s="1"/>
  <c r="AG44" i="46" s="1"/>
  <c r="AG45" i="46" s="1"/>
  <c r="AG46" i="46" s="1"/>
  <c r="AG47" i="46" s="1"/>
  <c r="AG48" i="46" s="1"/>
  <c r="AG49" i="46" s="1"/>
  <c r="AG50" i="46" s="1"/>
  <c r="AG51" i="46" s="1"/>
  <c r="I14" i="46"/>
  <c r="I15" i="46" s="1"/>
  <c r="I16" i="46" s="1"/>
  <c r="I17" i="46" s="1"/>
  <c r="I18" i="46" s="1"/>
  <c r="I19" i="46" s="1"/>
  <c r="I20" i="46" s="1"/>
  <c r="I21" i="46" s="1"/>
  <c r="I22" i="46" s="1"/>
  <c r="I23" i="46" s="1"/>
  <c r="I24" i="46" s="1"/>
  <c r="I25" i="46" s="1"/>
  <c r="I26" i="46" s="1"/>
  <c r="I27" i="46" s="1"/>
  <c r="I28" i="46" s="1"/>
  <c r="I29" i="46" s="1"/>
  <c r="I30" i="46" s="1"/>
  <c r="I31" i="46" s="1"/>
  <c r="I32" i="46" s="1"/>
  <c r="FZ9" i="46"/>
  <c r="FL9" i="46"/>
  <c r="FD9" i="46"/>
  <c r="EL9" i="46"/>
  <c r="ED9" i="46"/>
  <c r="DV9" i="46"/>
  <c r="DP9" i="46"/>
  <c r="DN9" i="46"/>
  <c r="DH9" i="46"/>
  <c r="DF9" i="46"/>
  <c r="F9" i="46"/>
  <c r="FM8" i="46"/>
  <c r="FE8" i="46"/>
  <c r="EW8" i="46"/>
  <c r="EO8" i="46"/>
  <c r="EG8" i="46"/>
  <c r="DY8" i="46"/>
  <c r="DQ8" i="46"/>
  <c r="DI8" i="46"/>
  <c r="DA8" i="46"/>
  <c r="CS8" i="46"/>
  <c r="CK8" i="46"/>
  <c r="CC8" i="46"/>
  <c r="BU8" i="46"/>
  <c r="BM8" i="46"/>
  <c r="BE8" i="46"/>
  <c r="AW8" i="46"/>
  <c r="AO8" i="46"/>
  <c r="AG8" i="46"/>
  <c r="Y8" i="46"/>
  <c r="Q8" i="46"/>
  <c r="I8" i="46"/>
  <c r="A8" i="46"/>
  <c r="FM7" i="46"/>
  <c r="FE7" i="46"/>
  <c r="EW7" i="46"/>
  <c r="EO7" i="46"/>
  <c r="EG7" i="46"/>
  <c r="DY7" i="46"/>
  <c r="DQ7" i="46"/>
  <c r="DI7" i="46"/>
  <c r="DA7" i="46"/>
  <c r="CS7" i="46"/>
  <c r="CK7" i="46"/>
  <c r="CC7" i="46"/>
  <c r="BU7" i="46"/>
  <c r="BM7" i="46"/>
  <c r="BE7" i="46"/>
  <c r="AW7" i="46"/>
  <c r="AO7" i="46"/>
  <c r="AG7" i="46"/>
  <c r="Y7" i="46"/>
  <c r="Q7" i="46"/>
  <c r="I7" i="46"/>
  <c r="A7" i="46"/>
  <c r="FM5" i="46"/>
  <c r="FE5" i="46"/>
  <c r="EW5" i="46"/>
  <c r="EO5" i="46"/>
  <c r="EG5" i="46"/>
  <c r="DY5" i="46"/>
  <c r="DQ5" i="46"/>
  <c r="DI5" i="46"/>
  <c r="DA5" i="46"/>
  <c r="CS5" i="46"/>
  <c r="CK5" i="46"/>
  <c r="CC5" i="46"/>
  <c r="BU5" i="46"/>
  <c r="BM5" i="46"/>
  <c r="BE5" i="46"/>
  <c r="AW5" i="46"/>
  <c r="AO5" i="46"/>
  <c r="AG5" i="46"/>
  <c r="Y5" i="46"/>
  <c r="I5" i="46"/>
  <c r="A5" i="46"/>
  <c r="HX2" i="46"/>
  <c r="HP2" i="46"/>
  <c r="HH2" i="46"/>
  <c r="GZ2" i="46"/>
  <c r="GR2" i="46"/>
  <c r="GJ2" i="46"/>
  <c r="GB2" i="46"/>
  <c r="FT2" i="46"/>
  <c r="FL2" i="46"/>
  <c r="FD2" i="46"/>
  <c r="EV2" i="46"/>
  <c r="EN2" i="46"/>
  <c r="EF2" i="46"/>
  <c r="DX2" i="46"/>
  <c r="DP2" i="46"/>
  <c r="DH2" i="46"/>
  <c r="CZ2" i="46"/>
  <c r="CR2" i="46"/>
  <c r="CJ2" i="46"/>
  <c r="CB2" i="46"/>
  <c r="BT2" i="46"/>
  <c r="BL2" i="46"/>
  <c r="BD2" i="46"/>
  <c r="AV2" i="46"/>
  <c r="AN2" i="46"/>
  <c r="AF2" i="46"/>
  <c r="X2" i="46"/>
  <c r="P2" i="46"/>
  <c r="H2" i="46"/>
  <c r="D17" i="45"/>
  <c r="C17" i="45"/>
  <c r="E17" i="45" s="1"/>
  <c r="D16" i="45"/>
  <c r="C16" i="45"/>
  <c r="C18" i="45" s="1"/>
  <c r="C14" i="45"/>
  <c r="E13" i="45"/>
  <c r="A13" i="45"/>
  <c r="A14" i="45" s="1"/>
  <c r="A15" i="45" s="1"/>
  <c r="A16" i="45" s="1"/>
  <c r="A17" i="45" s="1"/>
  <c r="A18" i="45" s="1"/>
  <c r="E12" i="45"/>
  <c r="AC18" i="46" s="1"/>
  <c r="A5" i="45"/>
  <c r="A4" i="45"/>
  <c r="BJ59" i="44"/>
  <c r="BI59" i="44"/>
  <c r="BD59" i="44"/>
  <c r="BD48" i="44" s="1"/>
  <c r="BC59" i="44"/>
  <c r="BB59" i="44"/>
  <c r="AZ59" i="44"/>
  <c r="AZ48" i="44" s="1"/>
  <c r="AW59" i="44"/>
  <c r="AW48" i="44" s="1"/>
  <c r="AS59" i="44"/>
  <c r="AR59" i="44"/>
  <c r="AR48" i="44" s="1"/>
  <c r="AQ59" i="44"/>
  <c r="AQ48" i="44" s="1"/>
  <c r="AP59" i="44"/>
  <c r="AO59" i="44"/>
  <c r="AN59" i="44"/>
  <c r="AN48" i="44" s="1"/>
  <c r="AM59" i="44"/>
  <c r="AM48" i="44" s="1"/>
  <c r="AL59" i="44"/>
  <c r="AK59" i="44"/>
  <c r="AJ59" i="44"/>
  <c r="AJ48" i="44" s="1"/>
  <c r="AI59" i="44"/>
  <c r="AI48" i="44" s="1"/>
  <c r="AF59" i="44"/>
  <c r="AE59" i="44"/>
  <c r="AC59" i="44"/>
  <c r="AB59" i="44"/>
  <c r="AB48" i="44" s="1"/>
  <c r="Z59" i="44"/>
  <c r="Z48" i="44" s="1"/>
  <c r="Y59" i="44"/>
  <c r="W59" i="44"/>
  <c r="W48" i="44" s="1"/>
  <c r="T59" i="44"/>
  <c r="S59" i="44"/>
  <c r="S48" i="44" s="1"/>
  <c r="R59" i="44"/>
  <c r="Q59" i="44"/>
  <c r="Q48" i="44" s="1"/>
  <c r="P59" i="44"/>
  <c r="P48" i="44" s="1"/>
  <c r="O59" i="44"/>
  <c r="O48" i="44" s="1"/>
  <c r="N59" i="44"/>
  <c r="M59" i="44"/>
  <c r="L59" i="44"/>
  <c r="L48" i="44" s="1"/>
  <c r="K59" i="44"/>
  <c r="K48" i="44" s="1"/>
  <c r="J59" i="44"/>
  <c r="I59" i="44"/>
  <c r="H59" i="44"/>
  <c r="H48" i="44" s="1"/>
  <c r="G59" i="44"/>
  <c r="G48" i="44" s="1"/>
  <c r="F59" i="44"/>
  <c r="E59" i="44"/>
  <c r="D59" i="44"/>
  <c r="D48" i="44" s="1"/>
  <c r="BK58" i="44"/>
  <c r="BK57" i="44"/>
  <c r="AU56" i="44"/>
  <c r="AU54" i="44"/>
  <c r="AU53" i="44"/>
  <c r="BJ48" i="44"/>
  <c r="BC48" i="44"/>
  <c r="BB48" i="44"/>
  <c r="AS48" i="44"/>
  <c r="AP48" i="44"/>
  <c r="AO48" i="44"/>
  <c r="AL48" i="44"/>
  <c r="AK48" i="44"/>
  <c r="AF48" i="44"/>
  <c r="AE48" i="44"/>
  <c r="AC48" i="44"/>
  <c r="Y48" i="44"/>
  <c r="T48" i="44"/>
  <c r="R48" i="44"/>
  <c r="N48" i="44"/>
  <c r="M48" i="44"/>
  <c r="J48" i="44"/>
  <c r="I48" i="44"/>
  <c r="F48" i="44"/>
  <c r="E48" i="44"/>
  <c r="AM45" i="44"/>
  <c r="AL45" i="44"/>
  <c r="C43" i="43"/>
  <c r="C42" i="43"/>
  <c r="C41" i="43"/>
  <c r="BK40" i="44"/>
  <c r="AB15" i="47"/>
  <c r="C39" i="43"/>
  <c r="AG38" i="44"/>
  <c r="AH38" i="44"/>
  <c r="C37" i="43"/>
  <c r="C36" i="43"/>
  <c r="C35" i="43"/>
  <c r="BK34" i="44"/>
  <c r="C34" i="43"/>
  <c r="C33" i="43"/>
  <c r="C32" i="43"/>
  <c r="C31" i="43"/>
  <c r="C30" i="43"/>
  <c r="C29" i="43"/>
  <c r="BJ27" i="44"/>
  <c r="BJ44" i="44" s="1"/>
  <c r="BI27" i="44"/>
  <c r="BI44" i="44" s="1"/>
  <c r="BH27" i="44"/>
  <c r="BG27" i="44"/>
  <c r="BF27" i="44"/>
  <c r="BE27" i="44"/>
  <c r="BD27" i="44"/>
  <c r="BC27" i="44"/>
  <c r="BA27" i="44"/>
  <c r="AZ27" i="44"/>
  <c r="AY27" i="44"/>
  <c r="AX27" i="44"/>
  <c r="AW27" i="44"/>
  <c r="AV27" i="44"/>
  <c r="AU27" i="44"/>
  <c r="AT27" i="44"/>
  <c r="AS27" i="44"/>
  <c r="AR27" i="44"/>
  <c r="AQ27" i="44"/>
  <c r="AP27" i="44"/>
  <c r="AN27" i="44"/>
  <c r="AM27" i="44"/>
  <c r="AL27" i="44"/>
  <c r="AK27" i="44"/>
  <c r="AJ27" i="44"/>
  <c r="AI27" i="44"/>
  <c r="AF27" i="44"/>
  <c r="AF44" i="44" s="1"/>
  <c r="AE27" i="44"/>
  <c r="AE44" i="44" s="1"/>
  <c r="AD27" i="44"/>
  <c r="AC27" i="44"/>
  <c r="AB27" i="44"/>
  <c r="AA27" i="44"/>
  <c r="Z27" i="44"/>
  <c r="W27" i="44"/>
  <c r="V27" i="44"/>
  <c r="U27" i="44"/>
  <c r="U44" i="44" s="1"/>
  <c r="T27" i="44"/>
  <c r="S27" i="44"/>
  <c r="Q27" i="44"/>
  <c r="P27" i="44"/>
  <c r="O27" i="44"/>
  <c r="N27" i="44"/>
  <c r="M27" i="44"/>
  <c r="L27" i="44"/>
  <c r="J27" i="44"/>
  <c r="I27" i="44"/>
  <c r="G27" i="44"/>
  <c r="F27" i="44"/>
  <c r="E27" i="44"/>
  <c r="D27" i="44"/>
  <c r="BK26" i="44"/>
  <c r="C26" i="43"/>
  <c r="AG25" i="44"/>
  <c r="C25" i="43"/>
  <c r="C24" i="43"/>
  <c r="BJ18" i="44"/>
  <c r="BJ46" i="44" s="1"/>
  <c r="BI18" i="44"/>
  <c r="BH18" i="44"/>
  <c r="BG18" i="44"/>
  <c r="BF18" i="44"/>
  <c r="BE18" i="44"/>
  <c r="BD18" i="44"/>
  <c r="BC18" i="44"/>
  <c r="BA18" i="44"/>
  <c r="AZ18" i="44"/>
  <c r="AY18" i="44"/>
  <c r="AX18" i="44"/>
  <c r="AW18" i="44"/>
  <c r="AV18" i="44"/>
  <c r="AU18" i="44"/>
  <c r="AT18" i="44"/>
  <c r="AS18" i="44"/>
  <c r="AR18" i="44"/>
  <c r="AQ18" i="44"/>
  <c r="AP18" i="44"/>
  <c r="AO18" i="44"/>
  <c r="AN18" i="44"/>
  <c r="AM18" i="44"/>
  <c r="AL18" i="44"/>
  <c r="AK18" i="44"/>
  <c r="AF18" i="44"/>
  <c r="AE18" i="44"/>
  <c r="AD18" i="44"/>
  <c r="AC18" i="44"/>
  <c r="AB18" i="44"/>
  <c r="AA18" i="44"/>
  <c r="Z18" i="44"/>
  <c r="Y18" i="44"/>
  <c r="V18" i="44"/>
  <c r="U18" i="44"/>
  <c r="T18" i="44"/>
  <c r="S18" i="44"/>
  <c r="R18" i="44"/>
  <c r="Q18" i="44"/>
  <c r="P18" i="44"/>
  <c r="O18" i="44"/>
  <c r="N18" i="44"/>
  <c r="M18" i="44"/>
  <c r="L18" i="44"/>
  <c r="K18" i="44"/>
  <c r="J18" i="44"/>
  <c r="I18" i="44"/>
  <c r="G18" i="44"/>
  <c r="F18" i="44"/>
  <c r="C17" i="43"/>
  <c r="AG16" i="44"/>
  <c r="C16" i="43"/>
  <c r="C15" i="43"/>
  <c r="A15" i="44"/>
  <c r="A16" i="44" s="1"/>
  <c r="A17" i="44" s="1"/>
  <c r="A18" i="44" s="1"/>
  <c r="A19" i="44" s="1"/>
  <c r="A20" i="44" s="1"/>
  <c r="A21" i="44" s="1"/>
  <c r="A22" i="44" s="1"/>
  <c r="A23" i="44" s="1"/>
  <c r="A24" i="44" s="1"/>
  <c r="A25" i="44" s="1"/>
  <c r="A26" i="44" s="1"/>
  <c r="A27" i="44" s="1"/>
  <c r="A28" i="44" s="1"/>
  <c r="A29" i="44" s="1"/>
  <c r="A30" i="44" s="1"/>
  <c r="A31" i="44" s="1"/>
  <c r="A32" i="44" s="1"/>
  <c r="A33" i="44" s="1"/>
  <c r="A34" i="44" s="1"/>
  <c r="A35" i="44" s="1"/>
  <c r="A36" i="44" s="1"/>
  <c r="A37" i="44" s="1"/>
  <c r="A38" i="44" s="1"/>
  <c r="A39" i="44" s="1"/>
  <c r="A40" i="44" s="1"/>
  <c r="A41" i="44" s="1"/>
  <c r="A42" i="44" s="1"/>
  <c r="A43" i="44" s="1"/>
  <c r="A44" i="44" s="1"/>
  <c r="A45" i="44" s="1"/>
  <c r="A46" i="44" s="1"/>
  <c r="A47" i="44" s="1"/>
  <c r="A48" i="44" s="1"/>
  <c r="A49" i="44" s="1"/>
  <c r="A50" i="44" s="1"/>
  <c r="A51" i="44" s="1"/>
  <c r="A52" i="44" s="1"/>
  <c r="A53" i="44" s="1"/>
  <c r="A54" i="44" s="1"/>
  <c r="A55" i="44" s="1"/>
  <c r="A56" i="44" s="1"/>
  <c r="A57" i="44" s="1"/>
  <c r="A58" i="44" s="1"/>
  <c r="A59" i="44" s="1"/>
  <c r="A60" i="44" s="1"/>
  <c r="A61" i="44" s="1"/>
  <c r="A62" i="44" s="1"/>
  <c r="A63" i="44" s="1"/>
  <c r="A64" i="44" s="1"/>
  <c r="C14" i="43"/>
  <c r="A14" i="44"/>
  <c r="BB9" i="44"/>
  <c r="AT9" i="44"/>
  <c r="FT9" i="46" s="1"/>
  <c r="AP9" i="44"/>
  <c r="AI9" i="44"/>
  <c r="H9" i="46" s="1"/>
  <c r="Z9" i="44"/>
  <c r="ET9" i="46"/>
  <c r="E9" i="44"/>
  <c r="A5" i="44"/>
  <c r="A4" i="44"/>
  <c r="F58" i="43"/>
  <c r="F57" i="43"/>
  <c r="F40" i="43"/>
  <c r="D38" i="43"/>
  <c r="F34" i="43"/>
  <c r="H27" i="43"/>
  <c r="F26" i="43"/>
  <c r="D25" i="43"/>
  <c r="D16" i="43"/>
  <c r="A14" i="43"/>
  <c r="A15" i="43" s="1"/>
  <c r="A16" i="43" s="1"/>
  <c r="A17" i="43" s="1"/>
  <c r="A18" i="43" s="1"/>
  <c r="A19" i="43" s="1"/>
  <c r="A20" i="43" s="1"/>
  <c r="A21" i="43" s="1"/>
  <c r="A22" i="43" s="1"/>
  <c r="A23" i="43" s="1"/>
  <c r="A24" i="43" s="1"/>
  <c r="A25" i="43" s="1"/>
  <c r="A26" i="43" s="1"/>
  <c r="A27" i="43" s="1"/>
  <c r="A28" i="43" s="1"/>
  <c r="A29" i="43" s="1"/>
  <c r="A30" i="43" s="1"/>
  <c r="A31" i="43" s="1"/>
  <c r="A32" i="43" s="1"/>
  <c r="A33" i="43" s="1"/>
  <c r="A34" i="43" s="1"/>
  <c r="A35" i="43" s="1"/>
  <c r="A36" i="43" s="1"/>
  <c r="A37" i="43" s="1"/>
  <c r="A38" i="43" s="1"/>
  <c r="A39" i="43" s="1"/>
  <c r="A40" i="43" s="1"/>
  <c r="A41" i="43" s="1"/>
  <c r="A42" i="43" s="1"/>
  <c r="A43" i="43" s="1"/>
  <c r="A44" i="43" s="1"/>
  <c r="A45" i="43" s="1"/>
  <c r="A46" i="43" s="1"/>
  <c r="A47" i="43" s="1"/>
  <c r="A48" i="43" s="1"/>
  <c r="A49" i="43" s="1"/>
  <c r="A50" i="43" s="1"/>
  <c r="A51" i="43" s="1"/>
  <c r="A52" i="43" s="1"/>
  <c r="A53" i="43" s="1"/>
  <c r="A54" i="43" s="1"/>
  <c r="A55" i="43" s="1"/>
  <c r="A56" i="43" s="1"/>
  <c r="A57" i="43" s="1"/>
  <c r="A58" i="43" s="1"/>
  <c r="A59" i="43" s="1"/>
  <c r="A60" i="43" s="1"/>
  <c r="A61" i="43" s="1"/>
  <c r="A62" i="43" s="1"/>
  <c r="A63" i="43" s="1"/>
  <c r="A64" i="43" s="1"/>
  <c r="A5" i="43"/>
  <c r="A4" i="43"/>
  <c r="H15" i="43"/>
  <c r="I13" i="42"/>
  <c r="I14" i="42" s="1"/>
  <c r="I15" i="42" s="1"/>
  <c r="I16" i="42" s="1"/>
  <c r="I17" i="42" s="1"/>
  <c r="G17" i="42"/>
  <c r="D13" i="42"/>
  <c r="D14" i="42" s="1"/>
  <c r="D15" i="42" s="1"/>
  <c r="D16" i="42" s="1"/>
  <c r="D17" i="42" s="1"/>
  <c r="D18" i="42" s="1"/>
  <c r="A13" i="42"/>
  <c r="A14" i="42" s="1"/>
  <c r="A15" i="42" s="1"/>
  <c r="A16" i="42" s="1"/>
  <c r="A17" i="42" s="1"/>
  <c r="A18" i="42" s="1"/>
  <c r="A19" i="42" s="1"/>
  <c r="A20" i="42" s="1"/>
  <c r="A21" i="42" s="1"/>
  <c r="A22" i="42" s="1"/>
  <c r="A23" i="42" s="1"/>
  <c r="A24" i="42" s="1"/>
  <c r="A25" i="42" s="1"/>
  <c r="A26" i="42" s="1"/>
  <c r="A27" i="42" s="1"/>
  <c r="A28" i="42" s="1"/>
  <c r="A29" i="42" s="1"/>
  <c r="A30" i="42" s="1"/>
  <c r="A31" i="42" s="1"/>
  <c r="A32" i="42" s="1"/>
  <c r="A33" i="42" s="1"/>
  <c r="A34" i="42" s="1"/>
  <c r="A35" i="42" s="1"/>
  <c r="A36" i="42" s="1"/>
  <c r="A37" i="42" s="1"/>
  <c r="A38" i="42" s="1"/>
  <c r="A39" i="42" s="1"/>
  <c r="A40" i="42" s="1"/>
  <c r="J5" i="42"/>
  <c r="D5" i="42"/>
  <c r="A5" i="42"/>
  <c r="J4" i="42"/>
  <c r="D4" i="42"/>
  <c r="A4" i="42"/>
  <c r="X17" i="44" l="1"/>
  <c r="X18" i="44" s="1"/>
  <c r="X46" i="44" s="1"/>
  <c r="AT56" i="44"/>
  <c r="D15" i="44"/>
  <c r="AU9" i="44"/>
  <c r="GB9" i="46" s="1"/>
  <c r="C33" i="47"/>
  <c r="D33" i="47" s="1"/>
  <c r="AT55" i="44"/>
  <c r="N9" i="46"/>
  <c r="H10" i="47"/>
  <c r="AJ9" i="44"/>
  <c r="BI48" i="44"/>
  <c r="BI74" i="44" s="1"/>
  <c r="BI77" i="44" s="1"/>
  <c r="M17" i="47"/>
  <c r="M19" i="47" s="1"/>
  <c r="M21" i="47" s="1"/>
  <c r="M22" i="47" s="1"/>
  <c r="GJ22" i="46"/>
  <c r="AV55" i="44" s="1"/>
  <c r="GJ24" i="46"/>
  <c r="AV56" i="44" s="1"/>
  <c r="BI17" i="47"/>
  <c r="BL17" i="47" s="1"/>
  <c r="BI18" i="47"/>
  <c r="BL18" i="47" s="1"/>
  <c r="BI23" i="47"/>
  <c r="BJ23" i="47" s="1"/>
  <c r="BJ25" i="47" s="1"/>
  <c r="AK19" i="47"/>
  <c r="AK23" i="47" s="1"/>
  <c r="K41" i="44"/>
  <c r="K27" i="44"/>
  <c r="R41" i="44"/>
  <c r="BR17" i="47"/>
  <c r="BQ20" i="47"/>
  <c r="E25" i="43"/>
  <c r="E16" i="45"/>
  <c r="E18" i="45" s="1"/>
  <c r="F9" i="44"/>
  <c r="AV9" i="44"/>
  <c r="AW9" i="44" s="1"/>
  <c r="AE46" i="44"/>
  <c r="FP26" i="46"/>
  <c r="AF46" i="44"/>
  <c r="FQ26" i="46"/>
  <c r="C40" i="43"/>
  <c r="U16" i="46"/>
  <c r="AU59" i="44"/>
  <c r="AU48" i="44" s="1"/>
  <c r="K33" i="44"/>
  <c r="AJ15" i="44"/>
  <c r="BK15" i="44" s="1"/>
  <c r="F15" i="43" s="1"/>
  <c r="AL42" i="46"/>
  <c r="H39" i="44" s="1"/>
  <c r="HH17" i="46"/>
  <c r="AY56" i="44" s="1"/>
  <c r="H23" i="46"/>
  <c r="CO20" i="46"/>
  <c r="HH21" i="46"/>
  <c r="HH22" i="46" s="1"/>
  <c r="HH24" i="46" s="1"/>
  <c r="AY36" i="44" s="1"/>
  <c r="HH16" i="46"/>
  <c r="AY54" i="44" s="1"/>
  <c r="FT31" i="46"/>
  <c r="N16" i="47"/>
  <c r="N17" i="47" s="1"/>
  <c r="T27" i="47"/>
  <c r="FB15" i="46"/>
  <c r="FB17" i="46" s="1"/>
  <c r="FB19" i="46" s="1"/>
  <c r="FB20" i="46" s="1"/>
  <c r="AL16" i="46"/>
  <c r="AL18" i="46"/>
  <c r="H15" i="44" s="1"/>
  <c r="FT30" i="46"/>
  <c r="AT39" i="44"/>
  <c r="AL43" i="46"/>
  <c r="H24" i="44" s="1"/>
  <c r="AL45" i="46"/>
  <c r="CB18" i="47"/>
  <c r="BH54" i="44" s="1"/>
  <c r="F31" i="46"/>
  <c r="BT18" i="47"/>
  <c r="BG54" i="44" s="1"/>
  <c r="FS24" i="46"/>
  <c r="C19" i="51" s="1"/>
  <c r="FT22" i="46"/>
  <c r="N18" i="47"/>
  <c r="AL24" i="46"/>
  <c r="AT36" i="44"/>
  <c r="F39" i="46"/>
  <c r="AL17" i="47"/>
  <c r="AC30" i="44" s="1"/>
  <c r="AM18" i="46"/>
  <c r="AN18" i="46" s="1"/>
  <c r="AL25" i="46"/>
  <c r="V16" i="47"/>
  <c r="BY20" i="47"/>
  <c r="AU49" i="47"/>
  <c r="AV42" i="47"/>
  <c r="AL20" i="46"/>
  <c r="AM24" i="46"/>
  <c r="AN24" i="46" s="1"/>
  <c r="AL27" i="46"/>
  <c r="N32" i="46"/>
  <c r="BS20" i="47"/>
  <c r="CA20" i="47"/>
  <c r="AR49" i="47"/>
  <c r="AV46" i="47"/>
  <c r="FS19" i="46"/>
  <c r="FT17" i="46"/>
  <c r="FT23" i="46"/>
  <c r="CN20" i="46"/>
  <c r="GB18" i="46"/>
  <c r="BS16" i="46"/>
  <c r="BS18" i="46" s="1"/>
  <c r="W14" i="46"/>
  <c r="X14" i="46" s="1"/>
  <c r="X16" i="46" s="1"/>
  <c r="AL15" i="46"/>
  <c r="AM16" i="46"/>
  <c r="AN16" i="46" s="1"/>
  <c r="FR33" i="46"/>
  <c r="AM43" i="46"/>
  <c r="AN43" i="46" s="1"/>
  <c r="W16" i="47"/>
  <c r="X16" i="47" s="1"/>
  <c r="X19" i="47" s="1"/>
  <c r="CB19" i="47"/>
  <c r="BH56" i="44" s="1"/>
  <c r="AN21" i="47"/>
  <c r="BD38" i="44" s="1"/>
  <c r="AS49" i="47"/>
  <c r="AV44" i="47"/>
  <c r="AV48" i="47"/>
  <c r="T16" i="46"/>
  <c r="EB17" i="46"/>
  <c r="EB19" i="46" s="1"/>
  <c r="EB21" i="46" s="1"/>
  <c r="FR19" i="46"/>
  <c r="FT18" i="46"/>
  <c r="AL21" i="46"/>
  <c r="FR24" i="46"/>
  <c r="FZ24" i="46"/>
  <c r="H31" i="46"/>
  <c r="GB28" i="46"/>
  <c r="FT29" i="46"/>
  <c r="AK47" i="46"/>
  <c r="AL38" i="46"/>
  <c r="AL39" i="46"/>
  <c r="AL41" i="46"/>
  <c r="H26" i="44" s="1"/>
  <c r="AM45" i="46"/>
  <c r="AN45" i="46" s="1"/>
  <c r="AM15" i="47"/>
  <c r="AN15" i="47" s="1"/>
  <c r="AN19" i="47" s="1"/>
  <c r="T19" i="47"/>
  <c r="AU31" i="47"/>
  <c r="BH20" i="47"/>
  <c r="BX20" i="47"/>
  <c r="CB17" i="47"/>
  <c r="BH53" i="44" s="1"/>
  <c r="F28" i="47"/>
  <c r="AT37" i="47"/>
  <c r="AX43" i="44"/>
  <c r="AT53" i="44"/>
  <c r="F23" i="46"/>
  <c r="V14" i="46"/>
  <c r="F42" i="44" s="1"/>
  <c r="AK28" i="46"/>
  <c r="FT16" i="46"/>
  <c r="GF19" i="46"/>
  <c r="AL17" i="46"/>
  <c r="AR21" i="46"/>
  <c r="AL19" i="46"/>
  <c r="ED20" i="46"/>
  <c r="AM27" i="46"/>
  <c r="AN27" i="46" s="1"/>
  <c r="FT32" i="46"/>
  <c r="AM33" i="46"/>
  <c r="AN33" i="46" s="1"/>
  <c r="AL40" i="46"/>
  <c r="AJ19" i="47"/>
  <c r="AJ23" i="47" s="1"/>
  <c r="P16" i="47"/>
  <c r="P17" i="47" s="1"/>
  <c r="BT17" i="47"/>
  <c r="BG53" i="44" s="1"/>
  <c r="BZ20" i="47"/>
  <c r="BB26" i="47"/>
  <c r="C26" i="42"/>
  <c r="AV39" i="44"/>
  <c r="F17" i="47"/>
  <c r="F30" i="47"/>
  <c r="F29" i="47"/>
  <c r="DG16" i="46"/>
  <c r="O18" i="47"/>
  <c r="P18" i="47" s="1"/>
  <c r="DN16" i="46"/>
  <c r="R29" i="44" s="1"/>
  <c r="AG29" i="44" s="1"/>
  <c r="HV17" i="46"/>
  <c r="DV18" i="46"/>
  <c r="DF15" i="46"/>
  <c r="DV15" i="46"/>
  <c r="HX16" i="46"/>
  <c r="BA53" i="44" s="1"/>
  <c r="GB17" i="46"/>
  <c r="HN17" i="46"/>
  <c r="HX17" i="46"/>
  <c r="BA54" i="44" s="1"/>
  <c r="HV18" i="46"/>
  <c r="BD26" i="47"/>
  <c r="BD32" i="47" s="1"/>
  <c r="DD16" i="46"/>
  <c r="BT15" i="46"/>
  <c r="AL41" i="44" s="1"/>
  <c r="DM25" i="46"/>
  <c r="DO25" i="46" s="1"/>
  <c r="BI23" i="46"/>
  <c r="BI26" i="46" s="1"/>
  <c r="BR15" i="46"/>
  <c r="L41" i="44" s="1"/>
  <c r="FZ17" i="46"/>
  <c r="CP19" i="46"/>
  <c r="DN21" i="46"/>
  <c r="DN22" i="46"/>
  <c r="R35" i="44" s="1"/>
  <c r="GG25" i="46"/>
  <c r="FZ27" i="46"/>
  <c r="FZ28" i="46"/>
  <c r="BD18" i="47"/>
  <c r="HP14" i="46"/>
  <c r="ED16" i="46"/>
  <c r="FZ16" i="46"/>
  <c r="GG19" i="46"/>
  <c r="DN20" i="46"/>
  <c r="EF20" i="46"/>
  <c r="FZ20" i="46"/>
  <c r="BP16" i="46"/>
  <c r="BP18" i="46" s="1"/>
  <c r="DL23" i="46"/>
  <c r="DL26" i="46" s="1"/>
  <c r="DL28" i="46" s="1"/>
  <c r="EC17" i="46"/>
  <c r="EC19" i="46" s="1"/>
  <c r="FY29" i="46"/>
  <c r="DP16" i="46"/>
  <c r="AO29" i="44" s="1"/>
  <c r="EF16" i="46"/>
  <c r="GB16" i="46"/>
  <c r="AS21" i="46"/>
  <c r="DP18" i="46"/>
  <c r="AO31" i="44" s="1"/>
  <c r="DN19" i="46"/>
  <c r="R32" i="44" s="1"/>
  <c r="FZ19" i="46"/>
  <c r="HV25" i="46"/>
  <c r="BK23" i="46"/>
  <c r="BK26" i="46" s="1"/>
  <c r="HW19" i="46"/>
  <c r="HW21" i="46" s="1"/>
  <c r="GF25" i="46"/>
  <c r="GB25" i="46"/>
  <c r="FZ26" i="46"/>
  <c r="GB27" i="46"/>
  <c r="V26" i="47"/>
  <c r="AA42" i="44" s="1"/>
  <c r="E14" i="44"/>
  <c r="E18" i="44" s="1"/>
  <c r="U19" i="47"/>
  <c r="V18" i="47"/>
  <c r="M14" i="42"/>
  <c r="C18" i="43"/>
  <c r="C38" i="43"/>
  <c r="E38" i="43" s="1"/>
  <c r="AH16" i="44"/>
  <c r="C27" i="44"/>
  <c r="C44" i="44" s="1"/>
  <c r="AH25" i="44"/>
  <c r="CH14" i="46"/>
  <c r="HO18" i="46"/>
  <c r="AT15" i="46"/>
  <c r="BH23" i="46"/>
  <c r="BH26" i="46" s="1"/>
  <c r="BL23" i="46"/>
  <c r="BL26" i="46" s="1"/>
  <c r="DM23" i="46"/>
  <c r="GA29" i="46"/>
  <c r="GW15" i="46"/>
  <c r="GZ15" i="46" s="1"/>
  <c r="GZ16" i="46" s="1"/>
  <c r="AX56" i="44" s="1"/>
  <c r="AX59" i="44" s="1"/>
  <c r="HN15" i="46"/>
  <c r="HV16" i="46"/>
  <c r="DX18" i="46"/>
  <c r="DP19" i="46"/>
  <c r="AO32" i="44" s="1"/>
  <c r="DP20" i="46"/>
  <c r="GB20" i="46"/>
  <c r="DP21" i="46"/>
  <c r="GB21" i="46"/>
  <c r="DP22" i="46"/>
  <c r="AO35" i="44" s="1"/>
  <c r="FZ22" i="46"/>
  <c r="GB24" i="46"/>
  <c r="HU25" i="46"/>
  <c r="HU27" i="46" s="1"/>
  <c r="GI33" i="46"/>
  <c r="GI35" i="46" s="1"/>
  <c r="GI37" i="46" s="1"/>
  <c r="GJ37" i="46" s="1"/>
  <c r="AV42" i="44" s="1"/>
  <c r="BR14" i="46"/>
  <c r="BZ14" i="46"/>
  <c r="BZ16" i="46" s="1"/>
  <c r="CI14" i="46"/>
  <c r="CI16" i="46" s="1"/>
  <c r="DE16" i="46"/>
  <c r="DH15" i="46"/>
  <c r="DO23" i="46"/>
  <c r="EF15" i="46"/>
  <c r="HG18" i="46"/>
  <c r="CP16" i="46"/>
  <c r="HP16" i="46"/>
  <c r="AZ32" i="44" s="1"/>
  <c r="HU19" i="46"/>
  <c r="HU21" i="46" s="1"/>
  <c r="HX18" i="46"/>
  <c r="BA55" i="44" s="1"/>
  <c r="GB22" i="46"/>
  <c r="AU36" i="44" s="1"/>
  <c r="FZ25" i="46"/>
  <c r="GJ33" i="46"/>
  <c r="HV30" i="46"/>
  <c r="GJ19" i="46"/>
  <c r="C18" i="44"/>
  <c r="AR16" i="46"/>
  <c r="CA14" i="46"/>
  <c r="CB14" i="46" s="1"/>
  <c r="CB16" i="46" s="1"/>
  <c r="CB18" i="46" s="1"/>
  <c r="AM35" i="44" s="1"/>
  <c r="HL18" i="46"/>
  <c r="BJ23" i="46"/>
  <c r="BJ26" i="46" s="1"/>
  <c r="DX15" i="46"/>
  <c r="FX29" i="46"/>
  <c r="CQ16" i="46"/>
  <c r="CR16" i="46" s="1"/>
  <c r="HN16" i="46"/>
  <c r="DN17" i="46"/>
  <c r="R30" i="44" s="1"/>
  <c r="DN18" i="46"/>
  <c r="R31" i="44" s="1"/>
  <c r="FZ18" i="46"/>
  <c r="GB19" i="46"/>
  <c r="FZ21" i="46"/>
  <c r="HX24" i="46"/>
  <c r="HT25" i="46"/>
  <c r="HT27" i="46" s="1"/>
  <c r="HT29" i="46" s="1"/>
  <c r="J18" i="42"/>
  <c r="I18" i="42"/>
  <c r="F17" i="42"/>
  <c r="H17" i="42" s="1"/>
  <c r="H13" i="42"/>
  <c r="C42" i="46"/>
  <c r="AI31" i="46"/>
  <c r="K20" i="46"/>
  <c r="E16" i="43"/>
  <c r="N10" i="47"/>
  <c r="AA9" i="44"/>
  <c r="BC9" i="44"/>
  <c r="DX9" i="46"/>
  <c r="EF9" i="46"/>
  <c r="F16" i="42"/>
  <c r="F14" i="42"/>
  <c r="C43" i="46"/>
  <c r="AI32" i="46"/>
  <c r="K21" i="46"/>
  <c r="BI46" i="44"/>
  <c r="AB17" i="47"/>
  <c r="AB19" i="47" s="1"/>
  <c r="AD15" i="47"/>
  <c r="U46" i="44"/>
  <c r="C23" i="43"/>
  <c r="GQ19" i="46"/>
  <c r="EZ19" i="46"/>
  <c r="EZ20" i="46" s="1"/>
  <c r="AU16" i="46"/>
  <c r="AV14" i="46"/>
  <c r="AV16" i="46" s="1"/>
  <c r="CY15" i="46"/>
  <c r="CZ14" i="46"/>
  <c r="CZ15" i="46" s="1"/>
  <c r="GN19" i="46"/>
  <c r="GN20" i="46" s="1"/>
  <c r="FC19" i="46"/>
  <c r="FC20" i="46" s="1"/>
  <c r="GO19" i="46"/>
  <c r="E14" i="45"/>
  <c r="G61" i="44" s="1"/>
  <c r="DH14" i="46"/>
  <c r="DP15" i="46"/>
  <c r="AO24" i="44" s="1"/>
  <c r="GR15" i="46"/>
  <c r="HP15" i="46"/>
  <c r="GY16" i="46"/>
  <c r="DP17" i="46"/>
  <c r="AO30" i="44" s="1"/>
  <c r="HP17" i="46"/>
  <c r="AU18" i="46"/>
  <c r="AM19" i="46"/>
  <c r="AN19" i="46" s="1"/>
  <c r="CQ19" i="46"/>
  <c r="CR19" i="46" s="1"/>
  <c r="GI19" i="46"/>
  <c r="HT19" i="46"/>
  <c r="HT21" i="46" s="1"/>
  <c r="DW24" i="46"/>
  <c r="BT14" i="46"/>
  <c r="CX14" i="46"/>
  <c r="HN14" i="46"/>
  <c r="CW15" i="46"/>
  <c r="ED15" i="46"/>
  <c r="FD15" i="46"/>
  <c r="FD17" i="46" s="1"/>
  <c r="FJ15" i="46"/>
  <c r="FJ16" i="46" s="1"/>
  <c r="GB15" i="46"/>
  <c r="AS16" i="46"/>
  <c r="BQ16" i="46"/>
  <c r="BQ18" i="46" s="1"/>
  <c r="EE17" i="46"/>
  <c r="EE19" i="46" s="1"/>
  <c r="FA17" i="46"/>
  <c r="AT14" i="46"/>
  <c r="DF14" i="46"/>
  <c r="V15" i="46"/>
  <c r="F43" i="44" s="1"/>
  <c r="AM15" i="46"/>
  <c r="BB15" i="46"/>
  <c r="DN15" i="46"/>
  <c r="R24" i="44" s="1"/>
  <c r="GP15" i="46"/>
  <c r="GP17" i="46" s="1"/>
  <c r="HH15" i="46"/>
  <c r="HM18" i="46"/>
  <c r="AT19" i="46"/>
  <c r="I42" i="44" s="1"/>
  <c r="GW19" i="46"/>
  <c r="DT24" i="46"/>
  <c r="DT26" i="46" s="1"/>
  <c r="DT28" i="46" s="1"/>
  <c r="DT30" i="46" s="1"/>
  <c r="BC15" i="46"/>
  <c r="FL15" i="46"/>
  <c r="FZ15" i="46"/>
  <c r="AT18" i="46"/>
  <c r="DU24" i="46"/>
  <c r="DU26" i="46" s="1"/>
  <c r="DU28" i="46" s="1"/>
  <c r="DV21" i="46"/>
  <c r="AM25" i="46"/>
  <c r="AN25" i="46" s="1"/>
  <c r="GI25" i="46"/>
  <c r="FT21" i="46"/>
  <c r="HG22" i="46"/>
  <c r="HG24" i="46" s="1"/>
  <c r="ET20" i="46"/>
  <c r="DX21" i="46"/>
  <c r="AL22" i="46"/>
  <c r="AL26" i="46"/>
  <c r="GB26" i="46"/>
  <c r="FS33" i="46"/>
  <c r="FS35" i="46" s="1"/>
  <c r="HW25" i="46"/>
  <c r="HW27" i="46" s="1"/>
  <c r="AJ47" i="46"/>
  <c r="AK34" i="46"/>
  <c r="BT19" i="47"/>
  <c r="BG56" i="44" s="1"/>
  <c r="AL37" i="46"/>
  <c r="AM37" i="46"/>
  <c r="BL19" i="47"/>
  <c r="BJ19" i="47"/>
  <c r="AM42" i="46"/>
  <c r="AN42" i="46" s="1"/>
  <c r="AL44" i="46"/>
  <c r="AL46" i="46"/>
  <c r="F16" i="47"/>
  <c r="W22" i="47"/>
  <c r="V22" i="47"/>
  <c r="U24" i="47"/>
  <c r="U27" i="47" s="1"/>
  <c r="AL15" i="47"/>
  <c r="L17" i="47"/>
  <c r="L19" i="47" s="1"/>
  <c r="V17" i="47"/>
  <c r="BB20" i="47"/>
  <c r="AV41" i="47"/>
  <c r="AT41" i="47"/>
  <c r="AV43" i="47"/>
  <c r="AT43" i="47"/>
  <c r="AV47" i="47"/>
  <c r="AT47" i="47"/>
  <c r="AZ19" i="47"/>
  <c r="AZ21" i="47" s="1"/>
  <c r="BB18" i="47"/>
  <c r="BA19" i="47"/>
  <c r="BA21" i="47" s="1"/>
  <c r="AV45" i="47"/>
  <c r="AT45" i="47"/>
  <c r="BT23" i="47"/>
  <c r="BT24" i="47" s="1"/>
  <c r="BA27" i="47"/>
  <c r="BA28" i="47"/>
  <c r="BA32" i="47"/>
  <c r="CB23" i="47"/>
  <c r="CB24" i="47" s="1"/>
  <c r="BH25" i="47"/>
  <c r="BC28" i="47"/>
  <c r="BC32" i="47"/>
  <c r="AV37" i="47"/>
  <c r="AZ27" i="47"/>
  <c r="AZ33" i="47" s="1"/>
  <c r="AZ28" i="47"/>
  <c r="AZ34" i="47" s="1"/>
  <c r="E26" i="42" l="1"/>
  <c r="BF54" i="44"/>
  <c r="BJ17" i="47"/>
  <c r="BI73" i="44"/>
  <c r="BI76" i="44" s="1"/>
  <c r="X73" i="44"/>
  <c r="X76" i="44" s="1"/>
  <c r="AM26" i="42"/>
  <c r="BI25" i="47"/>
  <c r="E33" i="47"/>
  <c r="F33" i="47"/>
  <c r="Y41" i="44" s="1"/>
  <c r="AI17" i="44"/>
  <c r="AI14" i="44"/>
  <c r="D17" i="44"/>
  <c r="D39" i="44"/>
  <c r="AG39" i="44" s="1"/>
  <c r="D39" i="43" s="1"/>
  <c r="E39" i="43" s="1"/>
  <c r="GJ9" i="46"/>
  <c r="P9" i="46"/>
  <c r="E19" i="51"/>
  <c r="G9" i="44"/>
  <c r="P10" i="47"/>
  <c r="V9" i="46"/>
  <c r="GJ25" i="46"/>
  <c r="GJ27" i="46" s="1"/>
  <c r="E15" i="51"/>
  <c r="BL23" i="47"/>
  <c r="BL25" i="47" s="1"/>
  <c r="BF37" i="44" s="1"/>
  <c r="CX15" i="46"/>
  <c r="P35" i="44" s="1"/>
  <c r="BJ18" i="47"/>
  <c r="BI20" i="47"/>
  <c r="E18" i="51"/>
  <c r="R27" i="44"/>
  <c r="V24" i="47"/>
  <c r="V27" i="47" s="1"/>
  <c r="AA54" i="44"/>
  <c r="AA53" i="44"/>
  <c r="AA56" i="44"/>
  <c r="BF56" i="44"/>
  <c r="BH59" i="44"/>
  <c r="FS26" i="46"/>
  <c r="AG15" i="44"/>
  <c r="D15" i="43" s="1"/>
  <c r="E15" i="43" s="1"/>
  <c r="G15" i="43" s="1"/>
  <c r="AG26" i="44"/>
  <c r="AH26" i="44" s="1"/>
  <c r="AZ30" i="44"/>
  <c r="BK30" i="44" s="1"/>
  <c r="F30" i="43" s="1"/>
  <c r="BK43" i="44"/>
  <c r="F43" i="43" s="1"/>
  <c r="AZ31" i="44"/>
  <c r="BK31" i="44" s="1"/>
  <c r="AZ35" i="44"/>
  <c r="W19" i="47"/>
  <c r="FT24" i="46"/>
  <c r="J14" i="42"/>
  <c r="P13" i="42"/>
  <c r="P25" i="42" s="1"/>
  <c r="W16" i="46"/>
  <c r="AG30" i="44"/>
  <c r="D30" i="43" s="1"/>
  <c r="E30" i="43" s="1"/>
  <c r="AM19" i="47"/>
  <c r="AM23" i="47" s="1"/>
  <c r="N19" i="47"/>
  <c r="Z41" i="44" s="1"/>
  <c r="H33" i="44"/>
  <c r="BG59" i="44"/>
  <c r="BK54" i="44"/>
  <c r="F54" i="43" s="1"/>
  <c r="CA16" i="46"/>
  <c r="CA18" i="46" s="1"/>
  <c r="W17" i="44"/>
  <c r="GF27" i="46"/>
  <c r="HU29" i="46"/>
  <c r="HU30" i="46" s="1"/>
  <c r="CB20" i="47"/>
  <c r="GJ35" i="46"/>
  <c r="GJ38" i="46" s="1"/>
  <c r="AK49" i="46"/>
  <c r="AV59" i="44"/>
  <c r="FT19" i="46"/>
  <c r="AN23" i="47"/>
  <c r="AT49" i="47"/>
  <c r="BE38" i="44"/>
  <c r="H32" i="46"/>
  <c r="AV44" i="44"/>
  <c r="AV46" i="44" s="1"/>
  <c r="H27" i="44"/>
  <c r="HV19" i="46"/>
  <c r="HV21" i="46" s="1"/>
  <c r="FT33" i="46"/>
  <c r="FT35" i="46" s="1"/>
  <c r="FT37" i="46" s="1"/>
  <c r="FT38" i="46" s="1"/>
  <c r="CP20" i="46"/>
  <c r="O35" i="44" s="1"/>
  <c r="DF16" i="46"/>
  <c r="Q35" i="44" s="1"/>
  <c r="AH29" i="44"/>
  <c r="D29" i="43"/>
  <c r="E29" i="43" s="1"/>
  <c r="F44" i="44"/>
  <c r="F46" i="44" s="1"/>
  <c r="P19" i="47"/>
  <c r="BC41" i="44" s="1"/>
  <c r="F32" i="46"/>
  <c r="D14" i="44"/>
  <c r="BT20" i="47"/>
  <c r="ED19" i="46"/>
  <c r="GG27" i="46"/>
  <c r="BD19" i="47"/>
  <c r="BD21" i="47" s="1"/>
  <c r="AX44" i="44"/>
  <c r="AX46" i="44" s="1"/>
  <c r="AT59" i="44"/>
  <c r="FR26" i="46"/>
  <c r="AZ35" i="47"/>
  <c r="R33" i="44"/>
  <c r="O19" i="47"/>
  <c r="AT16" i="46"/>
  <c r="I35" i="44" s="1"/>
  <c r="DV24" i="46"/>
  <c r="DV26" i="46" s="1"/>
  <c r="ED17" i="46"/>
  <c r="FZ29" i="46"/>
  <c r="W35" i="44" s="1"/>
  <c r="EC21" i="46"/>
  <c r="ED21" i="46" s="1"/>
  <c r="CR20" i="46"/>
  <c r="AI33" i="46"/>
  <c r="GI38" i="46"/>
  <c r="BD28" i="47"/>
  <c r="CJ14" i="46"/>
  <c r="CJ16" i="46" s="1"/>
  <c r="DH16" i="46"/>
  <c r="AN35" i="44" s="1"/>
  <c r="F18" i="42"/>
  <c r="C44" i="46"/>
  <c r="DP23" i="46"/>
  <c r="DP26" i="46" s="1"/>
  <c r="DP28" i="46" s="1"/>
  <c r="BA59" i="44"/>
  <c r="GR19" i="46"/>
  <c r="AW42" i="44" s="1"/>
  <c r="M16" i="42"/>
  <c r="M18" i="42" s="1"/>
  <c r="EF17" i="46"/>
  <c r="AO33" i="44"/>
  <c r="BK33" i="44" s="1"/>
  <c r="F33" i="43" s="1"/>
  <c r="DN23" i="46"/>
  <c r="DN26" i="46" s="1"/>
  <c r="DN28" i="46" s="1"/>
  <c r="BR16" i="46"/>
  <c r="L35" i="44"/>
  <c r="DM26" i="46"/>
  <c r="HX25" i="46"/>
  <c r="BA37" i="44"/>
  <c r="CQ20" i="46"/>
  <c r="K22" i="46"/>
  <c r="AX48" i="44"/>
  <c r="C46" i="44"/>
  <c r="BZ18" i="46"/>
  <c r="M35" i="44"/>
  <c r="HT30" i="46"/>
  <c r="HP18" i="46"/>
  <c r="HN18" i="46"/>
  <c r="GW16" i="46"/>
  <c r="GX15" i="46"/>
  <c r="GX16" i="46" s="1"/>
  <c r="CH16" i="46"/>
  <c r="N32" i="44"/>
  <c r="HX19" i="46"/>
  <c r="HX21" i="46" s="1"/>
  <c r="BA34" i="47"/>
  <c r="BB28" i="47"/>
  <c r="Y23" i="44"/>
  <c r="AT21" i="46"/>
  <c r="EE21" i="46"/>
  <c r="EF19" i="46"/>
  <c r="EF21" i="46" s="1"/>
  <c r="GB29" i="46"/>
  <c r="FD19" i="46"/>
  <c r="AR42" i="44" s="1"/>
  <c r="AR39" i="44"/>
  <c r="C27" i="43"/>
  <c r="C44" i="43" s="1"/>
  <c r="C46" i="43" s="1"/>
  <c r="AD17" i="47"/>
  <c r="AD19" i="47" s="1"/>
  <c r="AB40" i="44"/>
  <c r="GR9" i="46"/>
  <c r="AX9" i="44"/>
  <c r="I19" i="42"/>
  <c r="I20" i="42" s="1"/>
  <c r="HX27" i="46"/>
  <c r="HW29" i="46"/>
  <c r="HX29" i="46" s="1"/>
  <c r="BA42" i="44" s="1"/>
  <c r="BC17" i="46"/>
  <c r="BD15" i="46"/>
  <c r="BD17" i="46" s="1"/>
  <c r="BB17" i="46"/>
  <c r="J32" i="44"/>
  <c r="BT16" i="46"/>
  <c r="BT18" i="46" s="1"/>
  <c r="AL35" i="44"/>
  <c r="GI27" i="46"/>
  <c r="AO27" i="44"/>
  <c r="AL47" i="46"/>
  <c r="H34" i="44"/>
  <c r="CB26" i="47"/>
  <c r="BH37" i="44"/>
  <c r="BC27" i="47"/>
  <c r="BB27" i="47"/>
  <c r="BA33" i="47"/>
  <c r="V19" i="47"/>
  <c r="FS37" i="46"/>
  <c r="AT42" i="44" s="1"/>
  <c r="DU30" i="46"/>
  <c r="DV28" i="46"/>
  <c r="FL16" i="46"/>
  <c r="AS39" i="44"/>
  <c r="GW20" i="46"/>
  <c r="GW23" i="46" s="1"/>
  <c r="GX19" i="46"/>
  <c r="GX20" i="46" s="1"/>
  <c r="GX23" i="46" s="1"/>
  <c r="HH18" i="46"/>
  <c r="AY53" i="44"/>
  <c r="AM28" i="46"/>
  <c r="AN15" i="46"/>
  <c r="AN28" i="46" s="1"/>
  <c r="GZ19" i="46"/>
  <c r="GZ20" i="46" s="1"/>
  <c r="GZ23" i="46" s="1"/>
  <c r="BR18" i="46"/>
  <c r="AU21" i="46"/>
  <c r="AU20" i="46"/>
  <c r="AV18" i="46"/>
  <c r="AV21" i="46" s="1"/>
  <c r="GP19" i="46"/>
  <c r="GP20" i="46" s="1"/>
  <c r="V16" i="46"/>
  <c r="GQ20" i="46"/>
  <c r="AV49" i="47"/>
  <c r="AV51" i="47" s="1"/>
  <c r="BB32" i="47"/>
  <c r="BC19" i="47"/>
  <c r="BC21" i="47" s="1"/>
  <c r="BB19" i="47"/>
  <c r="BB21" i="47" s="1"/>
  <c r="BL20" i="47"/>
  <c r="BF53" i="44"/>
  <c r="W24" i="47"/>
  <c r="W27" i="47" s="1"/>
  <c r="X22" i="47"/>
  <c r="X24" i="47" s="1"/>
  <c r="X27" i="47" s="1"/>
  <c r="AZ29" i="47"/>
  <c r="BT26" i="47"/>
  <c r="BG36" i="44"/>
  <c r="AD36" i="44"/>
  <c r="BA29" i="47"/>
  <c r="L21" i="47"/>
  <c r="L22" i="47" s="1"/>
  <c r="AL19" i="47"/>
  <c r="AL23" i="47" s="1"/>
  <c r="AC31" i="44"/>
  <c r="AM47" i="46"/>
  <c r="AN37" i="46"/>
  <c r="AN47" i="46" s="1"/>
  <c r="H17" i="44"/>
  <c r="FA19" i="46"/>
  <c r="FA20" i="46" s="1"/>
  <c r="DX24" i="46"/>
  <c r="DX26" i="46" s="1"/>
  <c r="DW26" i="46"/>
  <c r="DW28" i="46" s="1"/>
  <c r="GR17" i="46"/>
  <c r="AW32" i="44"/>
  <c r="GO20" i="46"/>
  <c r="V10" i="47"/>
  <c r="AB9" i="44"/>
  <c r="AX74" i="44" l="1"/>
  <c r="AX77" i="44" s="1"/>
  <c r="BJ20" i="47"/>
  <c r="C20" i="51"/>
  <c r="F73" i="44"/>
  <c r="F76" i="44" s="1"/>
  <c r="AX73" i="44"/>
  <c r="AX76" i="44" s="1"/>
  <c r="AV73" i="44"/>
  <c r="AV76" i="44" s="1"/>
  <c r="C73" i="44"/>
  <c r="C76" i="44" s="1"/>
  <c r="AI18" i="44"/>
  <c r="F42" i="46"/>
  <c r="D32" i="44" s="1"/>
  <c r="H42" i="46"/>
  <c r="AK9" i="44"/>
  <c r="H9" i="44"/>
  <c r="AD9" i="46"/>
  <c r="E16" i="51"/>
  <c r="E61" i="51"/>
  <c r="G7" i="51"/>
  <c r="E17" i="51"/>
  <c r="AA36" i="44"/>
  <c r="AA59" i="44"/>
  <c r="AA48" i="44" s="1"/>
  <c r="BK38" i="44"/>
  <c r="F38" i="43" s="1"/>
  <c r="G38" i="43" s="1"/>
  <c r="D26" i="43"/>
  <c r="E26" i="43" s="1"/>
  <c r="G26" i="43" s="1"/>
  <c r="AG33" i="44"/>
  <c r="AH33" i="44" s="1"/>
  <c r="AH15" i="44"/>
  <c r="BL26" i="44"/>
  <c r="BF59" i="44"/>
  <c r="BG48" i="44"/>
  <c r="BH48" i="44"/>
  <c r="AT48" i="44"/>
  <c r="AT44" i="44"/>
  <c r="AT46" i="44" s="1"/>
  <c r="FT26" i="46"/>
  <c r="AG34" i="44"/>
  <c r="AH34" i="44" s="1"/>
  <c r="D18" i="44"/>
  <c r="BA48" i="44"/>
  <c r="I44" i="44"/>
  <c r="I46" i="44" s="1"/>
  <c r="N44" i="44"/>
  <c r="N46" i="44" s="1"/>
  <c r="N21" i="47"/>
  <c r="Z42" i="44" s="1"/>
  <c r="P21" i="47"/>
  <c r="BC42" i="44" s="1"/>
  <c r="AV48" i="44"/>
  <c r="W18" i="44"/>
  <c r="AH30" i="44"/>
  <c r="I15" i="43"/>
  <c r="AG17" i="44"/>
  <c r="D17" i="43" s="1"/>
  <c r="E17" i="43" s="1"/>
  <c r="F43" i="46"/>
  <c r="AH39" i="44"/>
  <c r="HW30" i="46"/>
  <c r="H43" i="46"/>
  <c r="FD20" i="46"/>
  <c r="BA35" i="47"/>
  <c r="J20" i="42"/>
  <c r="BA44" i="44"/>
  <c r="BA46" i="44" s="1"/>
  <c r="O21" i="47"/>
  <c r="O22" i="47" s="1"/>
  <c r="AW44" i="44"/>
  <c r="AW46" i="44" s="1"/>
  <c r="GR20" i="46"/>
  <c r="DO26" i="46"/>
  <c r="DO28" i="46" s="1"/>
  <c r="F44" i="46"/>
  <c r="H44" i="46"/>
  <c r="G30" i="43"/>
  <c r="DM28" i="46"/>
  <c r="AG31" i="44"/>
  <c r="BK37" i="44"/>
  <c r="BK36" i="44"/>
  <c r="AV53" i="47"/>
  <c r="BE42" i="44" s="1"/>
  <c r="BE39" i="44"/>
  <c r="AY59" i="44"/>
  <c r="BK53" i="44"/>
  <c r="BC33" i="47"/>
  <c r="BB33" i="47"/>
  <c r="GZ9" i="46"/>
  <c r="AY9" i="44"/>
  <c r="AD42" i="44"/>
  <c r="BB29" i="47"/>
  <c r="AU35" i="44"/>
  <c r="AG23" i="44"/>
  <c r="AN49" i="46"/>
  <c r="DV30" i="46"/>
  <c r="S35" i="44"/>
  <c r="FS38" i="46"/>
  <c r="BD27" i="47"/>
  <c r="BD29" i="47" s="1"/>
  <c r="BC29" i="47"/>
  <c r="AR44" i="44"/>
  <c r="AR46" i="44" s="1"/>
  <c r="AQ35" i="44"/>
  <c r="BC34" i="47"/>
  <c r="BD34" i="47" s="1"/>
  <c r="BB34" i="47"/>
  <c r="AD10" i="47"/>
  <c r="AC9" i="44"/>
  <c r="DW30" i="46"/>
  <c r="DX28" i="46"/>
  <c r="AD54" i="44"/>
  <c r="AM49" i="46"/>
  <c r="AL9" i="46"/>
  <c r="T35" i="44"/>
  <c r="HX30" i="46"/>
  <c r="F31" i="43"/>
  <c r="AG40" i="44"/>
  <c r="BH74" i="44" l="1"/>
  <c r="BH77" i="44" s="1"/>
  <c r="BG74" i="44"/>
  <c r="BG77" i="44" s="1"/>
  <c r="AV74" i="44"/>
  <c r="AV77" i="44" s="1"/>
  <c r="AA74" i="44"/>
  <c r="AA77" i="44" s="1"/>
  <c r="BA74" i="44"/>
  <c r="BA77" i="44" s="1"/>
  <c r="AT74" i="44"/>
  <c r="AT77" i="44" s="1"/>
  <c r="G15" i="51"/>
  <c r="E20" i="51"/>
  <c r="AT73" i="44"/>
  <c r="AT76" i="44" s="1"/>
  <c r="AR73" i="44"/>
  <c r="AR76" i="44" s="1"/>
  <c r="BA73" i="44"/>
  <c r="BA76" i="44" s="1"/>
  <c r="N73" i="44"/>
  <c r="N76" i="44" s="1"/>
  <c r="I73" i="44"/>
  <c r="I76" i="44" s="1"/>
  <c r="AW73" i="44"/>
  <c r="AW76" i="44" s="1"/>
  <c r="D41" i="44"/>
  <c r="AI32" i="44"/>
  <c r="AI35" i="44"/>
  <c r="AF9" i="46"/>
  <c r="I9" i="44"/>
  <c r="AA44" i="44"/>
  <c r="AA46" i="44" s="1"/>
  <c r="G61" i="51"/>
  <c r="BK39" i="44"/>
  <c r="F39" i="43" s="1"/>
  <c r="G39" i="43" s="1"/>
  <c r="E62" i="51"/>
  <c r="E64" i="51" s="1"/>
  <c r="E14" i="51" s="1"/>
  <c r="BL38" i="44"/>
  <c r="D34" i="43"/>
  <c r="E34" i="43" s="1"/>
  <c r="G34" i="43" s="1"/>
  <c r="I26" i="43"/>
  <c r="D33" i="43"/>
  <c r="E33" i="43" s="1"/>
  <c r="G33" i="43" s="1"/>
  <c r="BL15" i="44"/>
  <c r="I38" i="43"/>
  <c r="BL33" i="44"/>
  <c r="BL34" i="44"/>
  <c r="BL30" i="44"/>
  <c r="N22" i="47"/>
  <c r="Z44" i="44"/>
  <c r="Z46" i="44" s="1"/>
  <c r="BC44" i="44"/>
  <c r="BC46" i="44" s="1"/>
  <c r="BF48" i="44"/>
  <c r="D35" i="44"/>
  <c r="P22" i="47"/>
  <c r="AH17" i="44"/>
  <c r="AD44" i="44"/>
  <c r="AD46" i="44" s="1"/>
  <c r="I30" i="43"/>
  <c r="AV55" i="47"/>
  <c r="F45" i="46"/>
  <c r="BB35" i="47"/>
  <c r="BE44" i="44"/>
  <c r="BE46" i="44" s="1"/>
  <c r="AI41" i="44"/>
  <c r="H45" i="46"/>
  <c r="DX30" i="46"/>
  <c r="AP35" i="44"/>
  <c r="D23" i="43"/>
  <c r="AH23" i="44"/>
  <c r="AD56" i="44"/>
  <c r="F53" i="43"/>
  <c r="AL10" i="47"/>
  <c r="AD9" i="44"/>
  <c r="BD9" i="44"/>
  <c r="HH9" i="46"/>
  <c r="AZ9" i="44"/>
  <c r="BD33" i="47"/>
  <c r="BD35" i="47" s="1"/>
  <c r="BC35" i="47"/>
  <c r="AY48" i="44"/>
  <c r="F37" i="43"/>
  <c r="AH40" i="44"/>
  <c r="D40" i="43"/>
  <c r="E40" i="43" s="1"/>
  <c r="G40" i="43" s="1"/>
  <c r="AT9" i="46"/>
  <c r="J9" i="44"/>
  <c r="F36" i="43"/>
  <c r="D31" i="43"/>
  <c r="E31" i="43" s="1"/>
  <c r="G31" i="43" s="1"/>
  <c r="AH31" i="44"/>
  <c r="BF74" i="44" l="1"/>
  <c r="BF77" i="44" s="1"/>
  <c r="AY74" i="44"/>
  <c r="AY77" i="44" s="1"/>
  <c r="BE73" i="44"/>
  <c r="BE76" i="44" s="1"/>
  <c r="AA73" i="44"/>
  <c r="AA76" i="44" s="1"/>
  <c r="BC73" i="44"/>
  <c r="BC76" i="44" s="1"/>
  <c r="Z73" i="44"/>
  <c r="Z76" i="44" s="1"/>
  <c r="AD73" i="44"/>
  <c r="AD76" i="44" s="1"/>
  <c r="H47" i="46"/>
  <c r="F47" i="46"/>
  <c r="BL39" i="44"/>
  <c r="I33" i="43"/>
  <c r="I34" i="43"/>
  <c r="BL31" i="44"/>
  <c r="BL40" i="44"/>
  <c r="AD59" i="44"/>
  <c r="I31" i="43"/>
  <c r="I39" i="43"/>
  <c r="I40" i="43"/>
  <c r="BB10" i="47"/>
  <c r="BB9" i="46"/>
  <c r="K9" i="44"/>
  <c r="E23" i="43"/>
  <c r="HP9" i="46"/>
  <c r="BA9" i="44"/>
  <c r="HX9" i="46" s="1"/>
  <c r="AN10" i="47"/>
  <c r="BE9" i="44"/>
  <c r="AV10" i="47" s="1"/>
  <c r="AD48" i="44" l="1"/>
  <c r="BJ9" i="46"/>
  <c r="L9" i="44"/>
  <c r="AD74" i="44" l="1"/>
  <c r="AD77" i="44" s="1"/>
  <c r="BR9" i="46"/>
  <c r="AL9" i="44"/>
  <c r="M9" i="44"/>
  <c r="BT9" i="46" l="1"/>
  <c r="BZ9" i="46"/>
  <c r="AM9" i="44"/>
  <c r="N9" i="44"/>
  <c r="CB9" i="46" l="1"/>
  <c r="CH9" i="46"/>
  <c r="O9" i="44"/>
  <c r="CP9" i="46" l="1"/>
  <c r="P9" i="44"/>
  <c r="CX9" i="46" l="1"/>
  <c r="EM16" i="46" l="1"/>
  <c r="EN16" i="46" s="1"/>
  <c r="C55" i="43" l="1"/>
  <c r="EL16" i="46" l="1"/>
  <c r="U55" i="44" s="1"/>
  <c r="AG55" i="44" l="1"/>
  <c r="AH55" i="44" s="1"/>
  <c r="D55" i="43" l="1"/>
  <c r="E55" i="43" s="1"/>
  <c r="C54" i="43"/>
  <c r="C58" i="43"/>
  <c r="C56" i="43"/>
  <c r="C53" i="43" l="1"/>
  <c r="EM19" i="46" l="1"/>
  <c r="EN19" i="46" s="1"/>
  <c r="EL19" i="46"/>
  <c r="U58" i="44" s="1"/>
  <c r="EM15" i="46"/>
  <c r="EN15" i="46" s="1"/>
  <c r="EM17" i="46"/>
  <c r="EN17" i="46" s="1"/>
  <c r="AG58" i="44" l="1"/>
  <c r="AH58" i="44" s="1"/>
  <c r="D58" i="43" l="1"/>
  <c r="E58" i="43" s="1"/>
  <c r="G58" i="43" s="1"/>
  <c r="I58" i="43" s="1"/>
  <c r="BL58" i="44"/>
  <c r="EM14" i="46"/>
  <c r="EN14" i="46" l="1"/>
  <c r="C57" i="43" l="1"/>
  <c r="C59" i="44"/>
  <c r="C48" i="44" l="1"/>
  <c r="C59" i="43"/>
  <c r="C74" i="44" l="1"/>
  <c r="C77" i="44" s="1"/>
  <c r="C48" i="43"/>
  <c r="C50" i="44"/>
  <c r="C50" i="43" l="1"/>
  <c r="EL18" i="46"/>
  <c r="U57" i="44" s="1"/>
  <c r="EM18" i="46"/>
  <c r="EK20" i="46"/>
  <c r="AG57" i="44" l="1"/>
  <c r="AH57" i="44" s="1"/>
  <c r="EN18" i="46"/>
  <c r="EN20" i="46" s="1"/>
  <c r="EM20" i="46"/>
  <c r="D57" i="43" l="1"/>
  <c r="E57" i="43" s="1"/>
  <c r="G57" i="43" s="1"/>
  <c r="I57" i="43" s="1"/>
  <c r="BL57" i="44"/>
  <c r="EL15" i="46"/>
  <c r="U54" i="44" s="1"/>
  <c r="EL17" i="46" l="1"/>
  <c r="U56" i="44" s="1"/>
  <c r="EJ20" i="46" l="1"/>
  <c r="EL14" i="46"/>
  <c r="EL20" i="46" l="1"/>
  <c r="U53" i="44"/>
  <c r="U59" i="44" l="1"/>
  <c r="AG53" i="44"/>
  <c r="AH53" i="44" l="1"/>
  <c r="D53" i="43"/>
  <c r="U48" i="44"/>
  <c r="U74" i="44" l="1"/>
  <c r="U77" i="44" s="1"/>
  <c r="E53" i="43"/>
  <c r="BL53" i="44"/>
  <c r="G53" i="43" l="1"/>
  <c r="I53" i="43" l="1"/>
  <c r="AQ19" i="46" l="1"/>
  <c r="J19" i="42"/>
  <c r="HK20" i="46"/>
  <c r="HL20" i="46" s="1"/>
  <c r="HL21" i="46" s="1"/>
  <c r="BW20" i="46"/>
  <c r="AY18" i="46"/>
  <c r="BA18" i="46" s="1"/>
  <c r="HC26" i="46"/>
  <c r="HF26" i="46" s="1"/>
  <c r="HF27" i="46" s="1"/>
  <c r="EQ25" i="46"/>
  <c r="DC18" i="46"/>
  <c r="DE18" i="46" s="1"/>
  <c r="BG27" i="47"/>
  <c r="BI27" i="47"/>
  <c r="BO19" i="46"/>
  <c r="CU17" i="46"/>
  <c r="CV17" i="46" s="1"/>
  <c r="K27" i="46"/>
  <c r="DK29" i="46"/>
  <c r="DM29" i="46" s="1"/>
  <c r="DM30" i="46" s="1"/>
  <c r="CM22" i="46"/>
  <c r="CN22" i="46" s="1"/>
  <c r="CN23" i="46" s="1"/>
  <c r="AI25" i="47"/>
  <c r="BO28" i="47"/>
  <c r="DS32" i="46"/>
  <c r="EA23" i="46"/>
  <c r="FG18" i="46"/>
  <c r="FL18" i="46" s="1"/>
  <c r="FL19" i="46" s="1"/>
  <c r="BW28" i="47"/>
  <c r="AI50" i="46"/>
  <c r="AA21" i="47"/>
  <c r="AD21" i="47" s="1"/>
  <c r="AD23" i="47" s="1"/>
  <c r="BG28" i="46"/>
  <c r="BI28" i="46" s="1"/>
  <c r="AA21" i="46"/>
  <c r="M19" i="42"/>
  <c r="M20" i="42" s="1"/>
  <c r="FW31" i="46"/>
  <c r="C49" i="46"/>
  <c r="F49" i="46" s="1"/>
  <c r="L19" i="42"/>
  <c r="D6" i="51" s="1"/>
  <c r="X62" i="44" l="1"/>
  <c r="J6" i="50"/>
  <c r="J8" i="50" s="1"/>
  <c r="D7" i="51"/>
  <c r="BX28" i="47"/>
  <c r="BX29" i="47" s="1"/>
  <c r="BZ28" i="47"/>
  <c r="BZ29" i="47" s="1"/>
  <c r="CA28" i="47"/>
  <c r="CA29" i="47" s="1"/>
  <c r="BY28" i="47"/>
  <c r="BY29" i="47" s="1"/>
  <c r="CB28" i="47"/>
  <c r="BP28" i="47"/>
  <c r="BP29" i="47" s="1"/>
  <c r="BQ28" i="47"/>
  <c r="BQ29" i="47" s="1"/>
  <c r="BR28" i="47"/>
  <c r="BR29" i="47" s="1"/>
  <c r="BS28" i="47"/>
  <c r="BS29" i="47" s="1"/>
  <c r="BT28" i="47"/>
  <c r="BT29" i="47" s="1"/>
  <c r="H49" i="46"/>
  <c r="HE26" i="46"/>
  <c r="HE27" i="46" s="1"/>
  <c r="CW17" i="46"/>
  <c r="CW18" i="46" s="1"/>
  <c r="AZ18" i="46"/>
  <c r="AZ19" i="46" s="1"/>
  <c r="HO20" i="46"/>
  <c r="HO21" i="46" s="1"/>
  <c r="AS42" i="44"/>
  <c r="AP62" i="44"/>
  <c r="I62" i="44"/>
  <c r="AD62" i="44"/>
  <c r="C62" i="43"/>
  <c r="BB62" i="44"/>
  <c r="CV18" i="46"/>
  <c r="GA31" i="46"/>
  <c r="GA32" i="46" s="1"/>
  <c r="FX31" i="46"/>
  <c r="FX32" i="46" s="1"/>
  <c r="FZ31" i="46"/>
  <c r="FY31" i="46"/>
  <c r="FY32" i="46" s="1"/>
  <c r="GB31" i="46"/>
  <c r="F50" i="46"/>
  <c r="D42" i="44"/>
  <c r="EC23" i="46"/>
  <c r="EC25" i="46" s="1"/>
  <c r="EE23" i="46"/>
  <c r="EE25" i="46" s="1"/>
  <c r="EB23" i="46"/>
  <c r="EB25" i="46" s="1"/>
  <c r="ED23" i="46"/>
  <c r="DT32" i="46"/>
  <c r="DT34" i="46" s="1"/>
  <c r="DW32" i="46"/>
  <c r="DW34" i="46" s="1"/>
  <c r="DU32" i="46"/>
  <c r="DU34" i="46" s="1"/>
  <c r="DX32" i="46"/>
  <c r="AM25" i="47"/>
  <c r="AM27" i="47" s="1"/>
  <c r="AJ25" i="47"/>
  <c r="AJ27" i="47" s="1"/>
  <c r="AK25" i="47"/>
  <c r="AK27" i="47" s="1"/>
  <c r="AN25" i="47"/>
  <c r="BH28" i="46"/>
  <c r="BL28" i="46"/>
  <c r="BL29" i="46" s="1"/>
  <c r="FK18" i="46"/>
  <c r="FK19" i="46" s="1"/>
  <c r="FI18" i="46"/>
  <c r="FI19" i="46" s="1"/>
  <c r="FH18" i="46"/>
  <c r="FH19" i="46" s="1"/>
  <c r="FJ18" i="46"/>
  <c r="FJ19" i="46" s="1"/>
  <c r="F62" i="44"/>
  <c r="AB43" i="44"/>
  <c r="EF23" i="46"/>
  <c r="DV32" i="46"/>
  <c r="AL25" i="47"/>
  <c r="CO22" i="46"/>
  <c r="Z62" i="44"/>
  <c r="T62" i="44"/>
  <c r="AB21" i="46"/>
  <c r="AB22" i="46" s="1"/>
  <c r="BI29" i="46"/>
  <c r="BK28" i="46"/>
  <c r="BK29" i="46" s="1"/>
  <c r="AC21" i="47"/>
  <c r="AC23" i="47" s="1"/>
  <c r="AE21" i="47"/>
  <c r="AE23" i="47" s="1"/>
  <c r="AB21" i="47"/>
  <c r="AB23" i="47" s="1"/>
  <c r="AK50" i="46"/>
  <c r="AK51" i="46" s="1"/>
  <c r="AN50" i="46"/>
  <c r="AN51" i="46" s="1"/>
  <c r="AM50" i="46"/>
  <c r="AM51" i="46" s="1"/>
  <c r="BZ20" i="46"/>
  <c r="CB20" i="46"/>
  <c r="BY20" i="46"/>
  <c r="BY21" i="46" s="1"/>
  <c r="BX20" i="46"/>
  <c r="BX21" i="46" s="1"/>
  <c r="CA20" i="46"/>
  <c r="CA21" i="46" s="1"/>
  <c r="AF21" i="47"/>
  <c r="AF23" i="47" s="1"/>
  <c r="BI28" i="47"/>
  <c r="BF42" i="44"/>
  <c r="M62" i="44"/>
  <c r="AN62" i="44"/>
  <c r="BG62" i="44"/>
  <c r="I62" i="43"/>
  <c r="W62" i="44"/>
  <c r="AQ62" i="44"/>
  <c r="BL62" i="44"/>
  <c r="AM62" i="44"/>
  <c r="H62" i="43"/>
  <c r="K62" i="44"/>
  <c r="J62" i="44"/>
  <c r="N62" i="44"/>
  <c r="AW62" i="44"/>
  <c r="C62" i="44"/>
  <c r="AF62" i="44"/>
  <c r="O62" i="44"/>
  <c r="V62" i="44"/>
  <c r="C20" i="42"/>
  <c r="AU62" i="44"/>
  <c r="AH62" i="44"/>
  <c r="AK62" i="44"/>
  <c r="E62" i="43"/>
  <c r="G62" i="43"/>
  <c r="BF62" i="44"/>
  <c r="BK62" i="44"/>
  <c r="L62" i="44"/>
  <c r="S62" i="44"/>
  <c r="E62" i="44"/>
  <c r="F62" i="43"/>
  <c r="AY62" i="44"/>
  <c r="AO62" i="44"/>
  <c r="AC62" i="44"/>
  <c r="R62" i="44"/>
  <c r="BD62" i="44"/>
  <c r="AB62" i="44"/>
  <c r="AZ62" i="44"/>
  <c r="G62" i="44"/>
  <c r="AI62" i="44"/>
  <c r="BJ62" i="44"/>
  <c r="D62" i="43"/>
  <c r="AJ62" i="44"/>
  <c r="AG62" i="44"/>
  <c r="BC62" i="44"/>
  <c r="AR62" i="44"/>
  <c r="BI62" i="44"/>
  <c r="Y62" i="44"/>
  <c r="D62" i="44"/>
  <c r="AL62" i="44"/>
  <c r="H62" i="44"/>
  <c r="AA62" i="44"/>
  <c r="AT62" i="44"/>
  <c r="AE62" i="44"/>
  <c r="U62" i="44"/>
  <c r="BA62" i="44"/>
  <c r="AS62" i="44"/>
  <c r="P62" i="44"/>
  <c r="Q62" i="44"/>
  <c r="BE62" i="44"/>
  <c r="AV62" i="44"/>
  <c r="AX62" i="44"/>
  <c r="DL29" i="46"/>
  <c r="DL30" i="46" s="1"/>
  <c r="DO29" i="46"/>
  <c r="DO30" i="46" s="1"/>
  <c r="DN29" i="46"/>
  <c r="DP29" i="46"/>
  <c r="BP19" i="46"/>
  <c r="BP20" i="46" s="1"/>
  <c r="BQ19" i="46"/>
  <c r="BS19" i="46"/>
  <c r="BS20" i="46" s="1"/>
  <c r="BT19" i="46"/>
  <c r="DE19" i="46"/>
  <c r="BC18" i="46"/>
  <c r="BA19" i="46"/>
  <c r="BH62" i="44"/>
  <c r="BL27" i="47"/>
  <c r="BL28" i="47" s="1"/>
  <c r="BK27" i="47"/>
  <c r="BK28" i="47" s="1"/>
  <c r="BH27" i="47"/>
  <c r="BH28" i="47" s="1"/>
  <c r="DG18" i="46"/>
  <c r="DD18" i="46"/>
  <c r="DD19" i="46" s="1"/>
  <c r="HG26" i="46"/>
  <c r="HG27" i="46" s="1"/>
  <c r="HH26" i="46"/>
  <c r="BJ27" i="47"/>
  <c r="BJ28" i="47" s="1"/>
  <c r="HD26" i="46"/>
  <c r="HD27" i="46" s="1"/>
  <c r="HM20" i="46"/>
  <c r="K30" i="50" l="1"/>
  <c r="K33" i="50"/>
  <c r="K40" i="50"/>
  <c r="K36" i="50"/>
  <c r="K37" i="50"/>
  <c r="K39" i="50"/>
  <c r="K31" i="50"/>
  <c r="K41" i="50"/>
  <c r="K35" i="50"/>
  <c r="K34" i="50"/>
  <c r="K38" i="50"/>
  <c r="K32" i="50"/>
  <c r="G6" i="51"/>
  <c r="G34" i="51" s="1"/>
  <c r="BG42" i="44"/>
  <c r="BG44" i="44" s="1"/>
  <c r="BG46" i="44" s="1"/>
  <c r="K23" i="50"/>
  <c r="K27" i="50"/>
  <c r="K29" i="50"/>
  <c r="K26" i="50"/>
  <c r="K28" i="50"/>
  <c r="K24" i="50"/>
  <c r="AM20" i="42"/>
  <c r="K14" i="50"/>
  <c r="K12" i="50"/>
  <c r="H50" i="46"/>
  <c r="K18" i="50"/>
  <c r="K17" i="50"/>
  <c r="K10" i="50"/>
  <c r="K11" i="50"/>
  <c r="K16" i="50"/>
  <c r="K8" i="50"/>
  <c r="K21" i="50"/>
  <c r="K20" i="50"/>
  <c r="K15" i="50"/>
  <c r="K13" i="50"/>
  <c r="K22" i="50"/>
  <c r="K25" i="50"/>
  <c r="K19" i="50"/>
  <c r="K9" i="50"/>
  <c r="BF44" i="44"/>
  <c r="BF46" i="44" s="1"/>
  <c r="AS44" i="44"/>
  <c r="AS46" i="44" s="1"/>
  <c r="BB18" i="46"/>
  <c r="BB19" i="46" s="1"/>
  <c r="CY17" i="46"/>
  <c r="CY18" i="46" s="1"/>
  <c r="AI42" i="44"/>
  <c r="CX17" i="46"/>
  <c r="CX18" i="46" s="1"/>
  <c r="BH42" i="44"/>
  <c r="CB29" i="47"/>
  <c r="CO23" i="46"/>
  <c r="CQ22" i="46"/>
  <c r="CP22" i="46"/>
  <c r="BQ20" i="46"/>
  <c r="BR19" i="46"/>
  <c r="M42" i="44"/>
  <c r="BZ21" i="46"/>
  <c r="AB44" i="44"/>
  <c r="AB46" i="44" s="1"/>
  <c r="AG43" i="44"/>
  <c r="BD42" i="44"/>
  <c r="AN27" i="47"/>
  <c r="DX34" i="46"/>
  <c r="AP42" i="44"/>
  <c r="ED25" i="46"/>
  <c r="T42" i="44"/>
  <c r="EF25" i="46"/>
  <c r="AQ42" i="44"/>
  <c r="FZ32" i="46"/>
  <c r="W42" i="44"/>
  <c r="DH18" i="46"/>
  <c r="DG19" i="46"/>
  <c r="BD18" i="46"/>
  <c r="BD19" i="46" s="1"/>
  <c r="BC19" i="46"/>
  <c r="BT20" i="46"/>
  <c r="AL42" i="44"/>
  <c r="DP30" i="46"/>
  <c r="AO42" i="44"/>
  <c r="AC42" i="44"/>
  <c r="AL27" i="47"/>
  <c r="BH29" i="46"/>
  <c r="BJ28" i="46"/>
  <c r="D44" i="44"/>
  <c r="D46" i="44" s="1"/>
  <c r="HN20" i="46"/>
  <c r="HN21" i="46" s="1"/>
  <c r="HM21" i="46"/>
  <c r="HP20" i="46"/>
  <c r="AY42" i="44"/>
  <c r="HH27" i="46"/>
  <c r="DF18" i="46"/>
  <c r="DN30" i="46"/>
  <c r="R42" i="44"/>
  <c r="AM42" i="44"/>
  <c r="CB21" i="46"/>
  <c r="DV34" i="46"/>
  <c r="S42" i="44"/>
  <c r="GB32" i="46"/>
  <c r="AU42" i="44"/>
  <c r="L24" i="50" l="1"/>
  <c r="G50" i="51"/>
  <c r="I50" i="51" s="1"/>
  <c r="G18" i="51"/>
  <c r="G25" i="51"/>
  <c r="I25" i="51" s="1"/>
  <c r="G26" i="51"/>
  <c r="I26" i="51" s="1"/>
  <c r="G24" i="51"/>
  <c r="G27" i="51"/>
  <c r="G28" i="51"/>
  <c r="G30" i="51"/>
  <c r="H30" i="51" s="1"/>
  <c r="G46" i="51"/>
  <c r="I46" i="51" s="1"/>
  <c r="BG73" i="44"/>
  <c r="BG76" i="44" s="1"/>
  <c r="BF73" i="44"/>
  <c r="BF76" i="44" s="1"/>
  <c r="AS73" i="44"/>
  <c r="AS76" i="44" s="1"/>
  <c r="D73" i="44"/>
  <c r="D76" i="44" s="1"/>
  <c r="AB73" i="44"/>
  <c r="AB76" i="44" s="1"/>
  <c r="K42" i="50"/>
  <c r="J42" i="44"/>
  <c r="BH44" i="44"/>
  <c r="BH46" i="44" s="1"/>
  <c r="AI44" i="44"/>
  <c r="AI46" i="44" s="1"/>
  <c r="T44" i="44"/>
  <c r="T46" i="44" s="1"/>
  <c r="AM44" i="44"/>
  <c r="AM46" i="44" s="1"/>
  <c r="M44" i="44"/>
  <c r="M46" i="44" s="1"/>
  <c r="AP44" i="44"/>
  <c r="AP46" i="44" s="1"/>
  <c r="S44" i="44"/>
  <c r="S46" i="44" s="1"/>
  <c r="AL44" i="44"/>
  <c r="AL46" i="44" s="1"/>
  <c r="AQ44" i="44"/>
  <c r="AQ46" i="44" s="1"/>
  <c r="AY44" i="44"/>
  <c r="AY46" i="44" s="1"/>
  <c r="AU44" i="44"/>
  <c r="AU46" i="44" s="1"/>
  <c r="W44" i="44"/>
  <c r="W46" i="44" s="1"/>
  <c r="R44" i="44"/>
  <c r="R46" i="44" s="1"/>
  <c r="BD44" i="44"/>
  <c r="BD46" i="44" s="1"/>
  <c r="AC44" i="44"/>
  <c r="AC46" i="44" s="1"/>
  <c r="AO44" i="44"/>
  <c r="AO46" i="44" s="1"/>
  <c r="CZ17" i="46"/>
  <c r="CZ18" i="46" s="1"/>
  <c r="P42" i="44"/>
  <c r="CQ23" i="46"/>
  <c r="CR22" i="46"/>
  <c r="CR23" i="46" s="1"/>
  <c r="DF19" i="46"/>
  <c r="Q42" i="44"/>
  <c r="HP21" i="46"/>
  <c r="AZ42" i="44"/>
  <c r="BR20" i="46"/>
  <c r="L42" i="44"/>
  <c r="D43" i="43"/>
  <c r="E43" i="43" s="1"/>
  <c r="G43" i="43" s="1"/>
  <c r="AH43" i="44"/>
  <c r="CP23" i="46"/>
  <c r="O42" i="44"/>
  <c r="BJ29" i="46"/>
  <c r="K42" i="44"/>
  <c r="DH19" i="46"/>
  <c r="AN42" i="44"/>
  <c r="G53" i="51" l="1"/>
  <c r="E21" i="42"/>
  <c r="E28" i="42" s="1"/>
  <c r="E36" i="42" s="1"/>
  <c r="L42" i="50"/>
  <c r="L43" i="50"/>
  <c r="K26" i="51"/>
  <c r="I53" i="51"/>
  <c r="K25" i="51"/>
  <c r="AC73" i="44"/>
  <c r="AC76" i="44" s="1"/>
  <c r="BD73" i="44"/>
  <c r="BD76" i="44" s="1"/>
  <c r="BH73" i="44"/>
  <c r="BH76" i="44" s="1"/>
  <c r="AU73" i="44"/>
  <c r="AU76" i="44" s="1"/>
  <c r="AL73" i="44"/>
  <c r="AL76" i="44" s="1"/>
  <c r="AM73" i="44"/>
  <c r="AM76" i="44" s="1"/>
  <c r="R73" i="44"/>
  <c r="R76" i="44" s="1"/>
  <c r="AY73" i="44"/>
  <c r="AY76" i="44" s="1"/>
  <c r="AO73" i="44"/>
  <c r="AO76" i="44" s="1"/>
  <c r="W73" i="44"/>
  <c r="W76" i="44" s="1"/>
  <c r="M73" i="44"/>
  <c r="M76" i="44" s="1"/>
  <c r="AP73" i="44"/>
  <c r="AP76" i="44" s="1"/>
  <c r="AQ73" i="44"/>
  <c r="AQ76" i="44" s="1"/>
  <c r="S73" i="44"/>
  <c r="S76" i="44" s="1"/>
  <c r="T73" i="44"/>
  <c r="T76" i="44" s="1"/>
  <c r="AI73" i="44"/>
  <c r="AI76" i="44" s="1"/>
  <c r="J44" i="44"/>
  <c r="J46" i="44" s="1"/>
  <c r="BL43" i="44"/>
  <c r="P44" i="44"/>
  <c r="P46" i="44" s="1"/>
  <c r="L44" i="44"/>
  <c r="L46" i="44" s="1"/>
  <c r="AZ44" i="44"/>
  <c r="AZ46" i="44" s="1"/>
  <c r="O44" i="44"/>
  <c r="O46" i="44" s="1"/>
  <c r="AN44" i="44"/>
  <c r="AN46" i="44" s="1"/>
  <c r="Q44" i="44"/>
  <c r="Q46" i="44" s="1"/>
  <c r="I43" i="43"/>
  <c r="K44" i="44"/>
  <c r="K46" i="44" s="1"/>
  <c r="J73" i="44" l="1"/>
  <c r="J76" i="44" s="1"/>
  <c r="AN73" i="44"/>
  <c r="AN76" i="44" s="1"/>
  <c r="AZ73" i="44"/>
  <c r="AZ76" i="44" s="1"/>
  <c r="L73" i="44"/>
  <c r="L76" i="44" s="1"/>
  <c r="K73" i="44"/>
  <c r="K76" i="44" s="1"/>
  <c r="Q73" i="44"/>
  <c r="Q76" i="44" s="1"/>
  <c r="O73" i="44"/>
  <c r="O76" i="44" s="1"/>
  <c r="P73" i="44"/>
  <c r="P76" i="44" s="1"/>
  <c r="ER18" i="46" l="1"/>
  <c r="ER21" i="46" l="1"/>
  <c r="ER23" i="46" s="1"/>
  <c r="ER30" i="46" l="1"/>
  <c r="ER31" i="46" s="1"/>
  <c r="ER32" i="46" s="1"/>
  <c r="ER25" i="46"/>
  <c r="ER27" i="46" s="1"/>
  <c r="EU16" i="46" l="1"/>
  <c r="EV16" i="46" s="1"/>
  <c r="ET16" i="46"/>
  <c r="EU19" i="46" l="1"/>
  <c r="EV19" i="46" s="1"/>
  <c r="ET19" i="46"/>
  <c r="EU17" i="46" l="1"/>
  <c r="EV17" i="46" s="1"/>
  <c r="ET17" i="46"/>
  <c r="V37" i="44" l="1"/>
  <c r="AG37" i="44" l="1"/>
  <c r="ET14" i="46"/>
  <c r="EU14" i="46"/>
  <c r="AH37" i="44" l="1"/>
  <c r="D37" i="43"/>
  <c r="E37" i="43" s="1"/>
  <c r="G37" i="43" s="1"/>
  <c r="EV14" i="46"/>
  <c r="I37" i="43" l="1"/>
  <c r="BL37" i="44"/>
  <c r="EU15" i="46"/>
  <c r="ET15" i="46"/>
  <c r="ES18" i="46"/>
  <c r="ES21" i="46" s="1"/>
  <c r="ES23" i="46" s="1"/>
  <c r="ES30" i="46" l="1"/>
  <c r="ES31" i="46" s="1"/>
  <c r="ES32" i="46" s="1"/>
  <c r="ES25" i="46"/>
  <c r="ES27" i="46" s="1"/>
  <c r="ET18" i="46"/>
  <c r="ET21" i="46" s="1"/>
  <c r="ET23" i="46" s="1"/>
  <c r="V36" i="44"/>
  <c r="EV15" i="46"/>
  <c r="EV18" i="46" s="1"/>
  <c r="EV21" i="46" s="1"/>
  <c r="EV23" i="46" s="1"/>
  <c r="EU18" i="46"/>
  <c r="EU21" i="46" s="1"/>
  <c r="EU23" i="46" s="1"/>
  <c r="AG36" i="44" l="1"/>
  <c r="ET30" i="46"/>
  <c r="ET25" i="46"/>
  <c r="V42" i="44" s="1"/>
  <c r="EU30" i="46"/>
  <c r="EU31" i="46" s="1"/>
  <c r="EU32" i="46" s="1"/>
  <c r="EU25" i="46"/>
  <c r="EU27" i="46" s="1"/>
  <c r="EV30" i="46"/>
  <c r="EV31" i="46" s="1"/>
  <c r="EV32" i="46" s="1"/>
  <c r="EV25" i="46"/>
  <c r="EV27" i="46" s="1"/>
  <c r="V44" i="44" l="1"/>
  <c r="V46" i="44" s="1"/>
  <c r="ET31" i="46"/>
  <c r="V56" i="44" s="1"/>
  <c r="V54" i="44"/>
  <c r="ET27" i="46"/>
  <c r="D36" i="43"/>
  <c r="AH36" i="44"/>
  <c r="V73" i="44" l="1"/>
  <c r="V76" i="44" s="1"/>
  <c r="AG56" i="44"/>
  <c r="AH56" i="44" s="1"/>
  <c r="BL36" i="44"/>
  <c r="V59" i="44"/>
  <c r="AG54" i="44"/>
  <c r="E36" i="43"/>
  <c r="ET32" i="46"/>
  <c r="D56" i="43" l="1"/>
  <c r="E56" i="43" s="1"/>
  <c r="V48" i="44"/>
  <c r="AG59" i="44"/>
  <c r="AH54" i="44"/>
  <c r="D54" i="43"/>
  <c r="G36" i="43"/>
  <c r="V74" i="44" l="1"/>
  <c r="V77" i="44" s="1"/>
  <c r="I36" i="43"/>
  <c r="AG48" i="44"/>
  <c r="AG74" i="44" s="1"/>
  <c r="AG77" i="44" s="1"/>
  <c r="D59" i="43"/>
  <c r="D48" i="43" s="1"/>
  <c r="E54" i="43"/>
  <c r="BL54" i="44"/>
  <c r="AH59" i="44"/>
  <c r="AH48" i="44" l="1"/>
  <c r="AH74" i="44" s="1"/>
  <c r="AH77" i="44" s="1"/>
  <c r="G54" i="43"/>
  <c r="E59" i="43"/>
  <c r="I54" i="43" l="1"/>
  <c r="E48" i="43"/>
  <c r="AC14" i="46"/>
  <c r="AC19" i="46" s="1"/>
  <c r="AD14" i="46"/>
  <c r="AD19" i="46" l="1"/>
  <c r="AD21" i="46" s="1"/>
  <c r="AC21" i="46"/>
  <c r="AC22" i="46" s="1"/>
  <c r="G42" i="44" l="1"/>
  <c r="AD22" i="46"/>
  <c r="G44" i="44" l="1"/>
  <c r="G46" i="44" s="1"/>
  <c r="G73" i="44" l="1"/>
  <c r="G76" i="44" s="1"/>
  <c r="G63" i="44"/>
  <c r="G64" i="44" l="1"/>
  <c r="AS30" i="47" l="1"/>
  <c r="AT30" i="47" l="1"/>
  <c r="AV30" i="47"/>
  <c r="AS17" i="47" l="1"/>
  <c r="AS29" i="47"/>
  <c r="AT17" i="47" l="1"/>
  <c r="AV17" i="47"/>
  <c r="AT29" i="47"/>
  <c r="AV29" i="47"/>
  <c r="AS24" i="47"/>
  <c r="AS20" i="47"/>
  <c r="AS18" i="47"/>
  <c r="AS19" i="47"/>
  <c r="AS22" i="47"/>
  <c r="BE56" i="44"/>
  <c r="AS28" i="47"/>
  <c r="AS26" i="47"/>
  <c r="AS21" i="47"/>
  <c r="AS27" i="47"/>
  <c r="AS23" i="47"/>
  <c r="BK56" i="44" l="1"/>
  <c r="BL56" i="44" s="1"/>
  <c r="AT20" i="47"/>
  <c r="AV20" i="47"/>
  <c r="AT18" i="47"/>
  <c r="AV18" i="47"/>
  <c r="AT28" i="47"/>
  <c r="AV28" i="47"/>
  <c r="AV24" i="47"/>
  <c r="AT24" i="47"/>
  <c r="AT23" i="47"/>
  <c r="AV23" i="47"/>
  <c r="AT22" i="47"/>
  <c r="AV22" i="47"/>
  <c r="AV21" i="47"/>
  <c r="AT21" i="47"/>
  <c r="AT27" i="47"/>
  <c r="AV27" i="47"/>
  <c r="AT19" i="47"/>
  <c r="AV19" i="47"/>
  <c r="AT26" i="47"/>
  <c r="AV26" i="47"/>
  <c r="AS16" i="47"/>
  <c r="F56" i="43" l="1"/>
  <c r="G56" i="43" s="1"/>
  <c r="I56" i="43" s="1"/>
  <c r="AT16" i="47"/>
  <c r="AV16" i="47"/>
  <c r="AS25" i="47" l="1"/>
  <c r="AR31" i="47"/>
  <c r="BE55" i="44" l="1"/>
  <c r="AR63" i="47"/>
  <c r="AT25" i="47"/>
  <c r="AT31" i="47" s="1"/>
  <c r="AV25" i="47"/>
  <c r="AV31" i="47" s="1"/>
  <c r="AS31" i="47"/>
  <c r="BE59" i="44" l="1"/>
  <c r="BK55" i="44"/>
  <c r="F55" i="43" l="1"/>
  <c r="BK59" i="44"/>
  <c r="BL55" i="44"/>
  <c r="BL59" i="44" s="1"/>
  <c r="BE48" i="44"/>
  <c r="BE74" i="44" l="1"/>
  <c r="BE77" i="44" s="1"/>
  <c r="BL48" i="44"/>
  <c r="BL74" i="44" s="1"/>
  <c r="BL77" i="44" s="1"/>
  <c r="BK48" i="44"/>
  <c r="BK74" i="44" s="1"/>
  <c r="BK77" i="44" s="1"/>
  <c r="F59" i="43"/>
  <c r="F48" i="43" s="1"/>
  <c r="G55" i="43"/>
  <c r="I55" i="43" l="1"/>
  <c r="G59" i="43"/>
  <c r="AE14" i="46" l="1"/>
  <c r="G48" i="43"/>
  <c r="I59" i="43"/>
  <c r="I48" i="43" s="1"/>
  <c r="C12" i="42" l="1"/>
  <c r="AF14" i="46"/>
  <c r="AM12" i="42" l="1"/>
  <c r="E43" i="50"/>
  <c r="E44" i="50" s="1"/>
  <c r="E3" i="50" s="1"/>
  <c r="AL32" i="46" l="1"/>
  <c r="H35" i="44" l="1"/>
  <c r="AL31" i="46" l="1"/>
  <c r="AL33" i="46"/>
  <c r="H41" i="44" s="1"/>
  <c r="AJ34" i="46" l="1"/>
  <c r="AL34" i="46"/>
  <c r="H32" i="44"/>
  <c r="AL23" i="46" l="1"/>
  <c r="AJ28" i="46"/>
  <c r="AJ49" i="46" s="1"/>
  <c r="AJ50" i="46" s="1"/>
  <c r="AJ51" i="46" s="1"/>
  <c r="AL28" i="46" l="1"/>
  <c r="AL49" i="46" s="1"/>
  <c r="AL50" i="46" s="1"/>
  <c r="H14" i="44"/>
  <c r="AL51" i="46" l="1"/>
  <c r="H42" i="44"/>
  <c r="AG14" i="44"/>
  <c r="H18" i="44"/>
  <c r="D14" i="43" l="1"/>
  <c r="AH14" i="44"/>
  <c r="AG18" i="44"/>
  <c r="H44" i="44"/>
  <c r="H46" i="44" s="1"/>
  <c r="H73" i="44" l="1"/>
  <c r="H76" i="44" s="1"/>
  <c r="AH18" i="44"/>
  <c r="D18" i="43"/>
  <c r="E14" i="43"/>
  <c r="E18" i="43" l="1"/>
  <c r="I24" i="51" l="1"/>
  <c r="K24" i="51" l="1"/>
  <c r="I14" i="49"/>
  <c r="I15" i="49" l="1"/>
  <c r="I18" i="49"/>
  <c r="I19" i="49"/>
  <c r="I20" i="49"/>
  <c r="I13" i="49" l="1"/>
  <c r="I27" i="49" l="1"/>
  <c r="H28" i="51" l="1"/>
  <c r="H27" i="51"/>
  <c r="H2" i="51"/>
  <c r="H61" i="51"/>
  <c r="H15" i="51"/>
  <c r="H18" i="51"/>
  <c r="I15" i="51" l="1"/>
  <c r="I18" i="51"/>
  <c r="I27" i="51"/>
  <c r="I28" i="51"/>
  <c r="K28" i="51" l="1"/>
  <c r="K27" i="51"/>
  <c r="K18" i="51"/>
  <c r="K15" i="51"/>
  <c r="AJ14" i="44" l="1"/>
  <c r="P32" i="46"/>
  <c r="AJ18" i="44" l="1"/>
  <c r="BK14" i="44"/>
  <c r="F14" i="43" l="1"/>
  <c r="BL14" i="44"/>
  <c r="G14" i="43" l="1"/>
  <c r="G31" i="51" l="1"/>
  <c r="H31" i="51" l="1"/>
  <c r="I31" i="51" l="1"/>
  <c r="K31" i="51" l="1"/>
  <c r="N21" i="46" l="1"/>
  <c r="E35" i="44" s="1"/>
  <c r="AG35" i="44" s="1"/>
  <c r="N20" i="46"/>
  <c r="N22" i="46"/>
  <c r="E41" i="44" s="1"/>
  <c r="AG41" i="44" s="1"/>
  <c r="AH35" i="44" l="1"/>
  <c r="D35" i="43"/>
  <c r="E35" i="43" s="1"/>
  <c r="AH41" i="44"/>
  <c r="D41" i="43"/>
  <c r="E41" i="43" s="1"/>
  <c r="E32" i="44"/>
  <c r="AG32" i="44" s="1"/>
  <c r="N23" i="46"/>
  <c r="N25" i="46" s="1"/>
  <c r="N27" i="46" l="1"/>
  <c r="E42" i="44" s="1"/>
  <c r="AH32" i="44"/>
  <c r="D32" i="43"/>
  <c r="E44" i="44" l="1"/>
  <c r="E46" i="44" s="1"/>
  <c r="P14" i="46"/>
  <c r="E32" i="43"/>
  <c r="N28" i="46"/>
  <c r="E73" i="44" l="1"/>
  <c r="E76" i="44" s="1"/>
  <c r="M18" i="46"/>
  <c r="L18" i="46"/>
  <c r="L20" i="46" l="1"/>
  <c r="L21" i="46"/>
  <c r="L22" i="46"/>
  <c r="M20" i="46"/>
  <c r="M21" i="46"/>
  <c r="M22" i="46"/>
  <c r="O21" i="46"/>
  <c r="O22" i="46"/>
  <c r="P18" i="46"/>
  <c r="O20" i="46"/>
  <c r="P22" i="46" l="1"/>
  <c r="AJ41" i="44" s="1"/>
  <c r="P21" i="46"/>
  <c r="AJ35" i="44" s="1"/>
  <c r="BK35" i="44" s="1"/>
  <c r="F35" i="43" s="1"/>
  <c r="G35" i="43" s="1"/>
  <c r="P16" i="46"/>
  <c r="P20" i="46"/>
  <c r="O23" i="46"/>
  <c r="O25" i="46" s="1"/>
  <c r="M23" i="46"/>
  <c r="M25" i="46" s="1"/>
  <c r="L23" i="46"/>
  <c r="L25" i="46" s="1"/>
  <c r="BL35" i="44" l="1"/>
  <c r="O27" i="46"/>
  <c r="O28" i="46" s="1"/>
  <c r="AJ32" i="44"/>
  <c r="P23" i="46"/>
  <c r="P25" i="46" s="1"/>
  <c r="M27" i="46"/>
  <c r="M28" i="46" s="1"/>
  <c r="L27" i="46"/>
  <c r="L28" i="46" s="1"/>
  <c r="BK32" i="44" l="1"/>
  <c r="P27" i="46"/>
  <c r="AJ42" i="44" s="1"/>
  <c r="AJ44" i="44" l="1"/>
  <c r="AJ46" i="44" s="1"/>
  <c r="F32" i="43"/>
  <c r="BL32" i="44"/>
  <c r="P28" i="46"/>
  <c r="G32" i="43" l="1"/>
  <c r="AJ73" i="44"/>
  <c r="AJ76" i="44" s="1"/>
  <c r="G16" i="42" l="1"/>
  <c r="H12" i="42"/>
  <c r="D4" i="51" l="1"/>
  <c r="H16" i="42"/>
  <c r="H18" i="42" s="1"/>
  <c r="H14" i="42"/>
  <c r="AE18" i="46"/>
  <c r="AE19" i="46" s="1"/>
  <c r="D1" i="51" l="1"/>
  <c r="AF19" i="46"/>
  <c r="AF21" i="46" s="1"/>
  <c r="AE21" i="46"/>
  <c r="AE22" i="46" s="1"/>
  <c r="C13" i="42"/>
  <c r="D22" i="51"/>
  <c r="G22" i="51" s="1"/>
  <c r="D20" i="51"/>
  <c r="D19" i="51"/>
  <c r="D35" i="51" l="1"/>
  <c r="G35" i="51" s="1"/>
  <c r="D36" i="51"/>
  <c r="G36" i="51" s="1"/>
  <c r="H22" i="51"/>
  <c r="I22" i="51" s="1"/>
  <c r="AK42" i="44"/>
  <c r="AF22" i="46"/>
  <c r="D15" i="51"/>
  <c r="D50" i="51"/>
  <c r="D53" i="51" s="1"/>
  <c r="D16" i="51"/>
  <c r="D17" i="51"/>
  <c r="D18" i="51"/>
  <c r="F61" i="43"/>
  <c r="Q61" i="44"/>
  <c r="Q63" i="44" s="1"/>
  <c r="Q64" i="44" s="1"/>
  <c r="C61" i="43"/>
  <c r="C63" i="43" s="1"/>
  <c r="C64" i="43" s="1"/>
  <c r="E61" i="44"/>
  <c r="E63" i="44" s="1"/>
  <c r="E64" i="44" s="1"/>
  <c r="D61" i="43"/>
  <c r="BA61" i="44"/>
  <c r="BA63" i="44" s="1"/>
  <c r="BA64" i="44" s="1"/>
  <c r="BK61" i="44"/>
  <c r="AO61" i="44"/>
  <c r="AO63" i="44" s="1"/>
  <c r="AO64" i="44" s="1"/>
  <c r="AC61" i="44"/>
  <c r="AC63" i="44" s="1"/>
  <c r="AC64" i="44" s="1"/>
  <c r="AP61" i="44"/>
  <c r="AP63" i="44" s="1"/>
  <c r="AP64" i="44" s="1"/>
  <c r="BF61" i="44"/>
  <c r="BF63" i="44" s="1"/>
  <c r="BF64" i="44" s="1"/>
  <c r="AG61" i="44"/>
  <c r="I61" i="43"/>
  <c r="AI61" i="44"/>
  <c r="AI63" i="44" s="1"/>
  <c r="E61" i="43"/>
  <c r="V61" i="44"/>
  <c r="V63" i="44" s="1"/>
  <c r="V64" i="44" s="1"/>
  <c r="O61" i="44"/>
  <c r="O63" i="44" s="1"/>
  <c r="O64" i="44" s="1"/>
  <c r="U61" i="44"/>
  <c r="U63" i="44" s="1"/>
  <c r="U64" i="44" s="1"/>
  <c r="G61" i="43"/>
  <c r="I61" i="44"/>
  <c r="I63" i="44" s="1"/>
  <c r="I64" i="44" s="1"/>
  <c r="H61" i="43"/>
  <c r="BE61" i="44"/>
  <c r="BE63" i="44" s="1"/>
  <c r="BE64" i="44" s="1"/>
  <c r="AS61" i="44"/>
  <c r="AS63" i="44" s="1"/>
  <c r="AS64" i="44" s="1"/>
  <c r="AV61" i="44"/>
  <c r="AV63" i="44" s="1"/>
  <c r="AV64" i="44" s="1"/>
  <c r="W61" i="44"/>
  <c r="W63" i="44" s="1"/>
  <c r="W64" i="44" s="1"/>
  <c r="AD61" i="44"/>
  <c r="AD63" i="44" s="1"/>
  <c r="AD64" i="44" s="1"/>
  <c r="AN61" i="44"/>
  <c r="AN63" i="44" s="1"/>
  <c r="AN64" i="44" s="1"/>
  <c r="T61" i="44"/>
  <c r="T63" i="44" s="1"/>
  <c r="T64" i="44" s="1"/>
  <c r="AY61" i="44"/>
  <c r="AY63" i="44" s="1"/>
  <c r="AY64" i="44" s="1"/>
  <c r="BG61" i="44"/>
  <c r="BG63" i="44" s="1"/>
  <c r="BG64" i="44" s="1"/>
  <c r="Y61" i="44"/>
  <c r="AR61" i="44"/>
  <c r="AR63" i="44" s="1"/>
  <c r="AR64" i="44" s="1"/>
  <c r="AB61" i="44"/>
  <c r="AB63" i="44" s="1"/>
  <c r="AB64" i="44" s="1"/>
  <c r="AF61" i="44"/>
  <c r="AF63" i="44" s="1"/>
  <c r="AF64" i="44" s="1"/>
  <c r="AL61" i="44"/>
  <c r="AL63" i="44" s="1"/>
  <c r="AL64" i="44" s="1"/>
  <c r="S61" i="44"/>
  <c r="S63" i="44" s="1"/>
  <c r="S64" i="44" s="1"/>
  <c r="Z61" i="44"/>
  <c r="Z63" i="44" s="1"/>
  <c r="Z64" i="44" s="1"/>
  <c r="C61" i="44"/>
  <c r="C63" i="44" s="1"/>
  <c r="C64" i="44" s="1"/>
  <c r="M61" i="44"/>
  <c r="M63" i="44" s="1"/>
  <c r="M64" i="44" s="1"/>
  <c r="AJ61" i="44"/>
  <c r="AJ63" i="44" s="1"/>
  <c r="AJ64" i="44" s="1"/>
  <c r="H61" i="44"/>
  <c r="H63" i="44" s="1"/>
  <c r="H64" i="44" s="1"/>
  <c r="L61" i="44"/>
  <c r="L63" i="44" s="1"/>
  <c r="L64" i="44" s="1"/>
  <c r="AU61" i="44"/>
  <c r="AU63" i="44" s="1"/>
  <c r="AU64" i="44" s="1"/>
  <c r="BI61" i="44"/>
  <c r="BI63" i="44" s="1"/>
  <c r="BI64" i="44" s="1"/>
  <c r="BB61" i="44"/>
  <c r="AQ61" i="44"/>
  <c r="AQ63" i="44" s="1"/>
  <c r="AQ64" i="44" s="1"/>
  <c r="AW61" i="44"/>
  <c r="AW63" i="44" s="1"/>
  <c r="AW64" i="44" s="1"/>
  <c r="AX61" i="44"/>
  <c r="AX63" i="44" s="1"/>
  <c r="AX64" i="44" s="1"/>
  <c r="AH61" i="44"/>
  <c r="BL61" i="44"/>
  <c r="J61" i="44"/>
  <c r="J63" i="44" s="1"/>
  <c r="J64" i="44" s="1"/>
  <c r="AZ61" i="44"/>
  <c r="AZ63" i="44" s="1"/>
  <c r="AZ64" i="44" s="1"/>
  <c r="AT61" i="44"/>
  <c r="AT63" i="44" s="1"/>
  <c r="AT64" i="44" s="1"/>
  <c r="K61" i="44"/>
  <c r="K63" i="44" s="1"/>
  <c r="K64" i="44" s="1"/>
  <c r="F61" i="44"/>
  <c r="F63" i="44" s="1"/>
  <c r="F64" i="44" s="1"/>
  <c r="AK61" i="44"/>
  <c r="BH61" i="44"/>
  <c r="BH63" i="44" s="1"/>
  <c r="BH64" i="44" s="1"/>
  <c r="BC61" i="44"/>
  <c r="BC63" i="44" s="1"/>
  <c r="BC64" i="44" s="1"/>
  <c r="AM61" i="44"/>
  <c r="AM63" i="44" s="1"/>
  <c r="AM64" i="44" s="1"/>
  <c r="P61" i="44"/>
  <c r="P63" i="44" s="1"/>
  <c r="P64" i="44" s="1"/>
  <c r="AA61" i="44"/>
  <c r="AA63" i="44" s="1"/>
  <c r="AA64" i="44" s="1"/>
  <c r="D61" i="44"/>
  <c r="D63" i="44" s="1"/>
  <c r="N61" i="44"/>
  <c r="N63" i="44" s="1"/>
  <c r="N64" i="44" s="1"/>
  <c r="BD61" i="44"/>
  <c r="BD63" i="44" s="1"/>
  <c r="BD64" i="44" s="1"/>
  <c r="BJ61" i="44"/>
  <c r="BJ63" i="44" s="1"/>
  <c r="BJ64" i="44" s="1"/>
  <c r="X61" i="44"/>
  <c r="X63" i="44" s="1"/>
  <c r="X64" i="44" s="1"/>
  <c r="AE61" i="44"/>
  <c r="AE63" i="44" s="1"/>
  <c r="AE64" i="44" s="1"/>
  <c r="AM13" i="42"/>
  <c r="R61" i="44"/>
  <c r="R63" i="44" s="1"/>
  <c r="R64" i="44" s="1"/>
  <c r="C15" i="42"/>
  <c r="K22" i="51" l="1"/>
  <c r="AM15" i="42"/>
  <c r="G43" i="50"/>
  <c r="G44" i="50" s="1"/>
  <c r="G3" i="50" s="1"/>
  <c r="AI64" i="44"/>
  <c r="D64" i="44"/>
  <c r="AK44" i="44"/>
  <c r="AK46" i="44" s="1"/>
  <c r="AK73" i="44" l="1"/>
  <c r="AK76" i="44" s="1"/>
  <c r="AK63" i="44"/>
  <c r="AK64" i="44" l="1"/>
  <c r="G33" i="51" l="1"/>
  <c r="E54" i="51"/>
  <c r="F20" i="51" l="1"/>
  <c r="G20" i="51" s="1"/>
  <c r="F19" i="51"/>
  <c r="G19" i="51" s="1"/>
  <c r="H19" i="51" l="1"/>
  <c r="I19" i="51" s="1"/>
  <c r="K19" i="51" s="1"/>
  <c r="H20" i="51"/>
  <c r="I20" i="51" s="1"/>
  <c r="K20" i="51" s="1"/>
  <c r="S29" i="42" l="1"/>
  <c r="I30" i="51" l="1"/>
  <c r="K30" i="51" l="1"/>
  <c r="I8" i="49" l="1"/>
  <c r="J14" i="49"/>
  <c r="J19" i="49"/>
  <c r="J20" i="49"/>
  <c r="J18" i="49"/>
  <c r="J15" i="49"/>
  <c r="J13" i="49"/>
  <c r="J27" i="49"/>
  <c r="S31" i="42"/>
  <c r="U17" i="42"/>
  <c r="U33" i="42" s="1"/>
  <c r="I17" i="49" l="1"/>
  <c r="J17" i="49" s="1"/>
  <c r="F20" i="47"/>
  <c r="I16" i="49" l="1"/>
  <c r="F21" i="49"/>
  <c r="F28" i="49" s="1"/>
  <c r="I21" i="49" l="1"/>
  <c r="I22" i="49" s="1"/>
  <c r="I28" i="49" s="1"/>
  <c r="J16" i="49"/>
  <c r="J21" i="49" l="1"/>
  <c r="J28" i="49" s="1"/>
  <c r="D24" i="47" l="1"/>
  <c r="D31" i="47" s="1"/>
  <c r="D34" i="47" s="1"/>
  <c r="D36" i="47" s="1"/>
  <c r="D37" i="47" s="1"/>
  <c r="F27" i="47" l="1"/>
  <c r="H20" i="47"/>
  <c r="H17" i="47" l="1"/>
  <c r="F22" i="47"/>
  <c r="F19" i="47"/>
  <c r="F23" i="47" l="1"/>
  <c r="H22" i="47"/>
  <c r="BB16" i="44" s="1"/>
  <c r="BK16" i="44" s="1"/>
  <c r="H21" i="47"/>
  <c r="BB25" i="44" s="1"/>
  <c r="BK25" i="44" s="1"/>
  <c r="H23" i="47"/>
  <c r="H16" i="47"/>
  <c r="BB23" i="44" s="1"/>
  <c r="BK23" i="44" s="1"/>
  <c r="F21" i="47"/>
  <c r="H19" i="47"/>
  <c r="F23" i="43" l="1"/>
  <c r="G23" i="43" s="1"/>
  <c r="BL23" i="44"/>
  <c r="H29" i="47"/>
  <c r="H33" i="47" s="1"/>
  <c r="BB41" i="44" s="1"/>
  <c r="BK41" i="44" s="1"/>
  <c r="G33" i="47"/>
  <c r="H30" i="47"/>
  <c r="H28" i="47"/>
  <c r="G24" i="47"/>
  <c r="BL16" i="44"/>
  <c r="F16" i="43"/>
  <c r="BL25" i="44"/>
  <c r="F25" i="43"/>
  <c r="G25" i="43" s="1"/>
  <c r="BB17" i="44" l="1"/>
  <c r="H27" i="47"/>
  <c r="BB29" i="44" s="1"/>
  <c r="BK29" i="44" s="1"/>
  <c r="BL41" i="44"/>
  <c r="F41" i="43"/>
  <c r="G41" i="43" s="1"/>
  <c r="I23" i="43"/>
  <c r="I25" i="43"/>
  <c r="G16" i="43"/>
  <c r="G31" i="47" l="1"/>
  <c r="G34" i="47" s="1"/>
  <c r="G36" i="47" s="1"/>
  <c r="G37" i="47" s="1"/>
  <c r="F29" i="43"/>
  <c r="G29" i="43" s="1"/>
  <c r="BL29" i="44"/>
  <c r="BK17" i="44"/>
  <c r="BB18" i="44"/>
  <c r="I16" i="43"/>
  <c r="BL17" i="44" l="1"/>
  <c r="BL18" i="44" s="1"/>
  <c r="F17" i="43"/>
  <c r="BK18" i="44"/>
  <c r="I29" i="43"/>
  <c r="G17" i="43" l="1"/>
  <c r="F18" i="43"/>
  <c r="I17" i="43" l="1"/>
  <c r="G18" i="43"/>
  <c r="S14" i="42"/>
  <c r="S28" i="42"/>
  <c r="S16" i="42" l="1"/>
  <c r="S30" i="42"/>
  <c r="U16" i="42" l="1"/>
  <c r="S32" i="42"/>
  <c r="U18" i="42" l="1"/>
  <c r="U32" i="42"/>
  <c r="P14" i="42" l="1"/>
  <c r="P26" i="42" s="1"/>
  <c r="G32" i="51" s="1"/>
  <c r="U34" i="42"/>
  <c r="E21" i="49"/>
  <c r="E28" i="49" s="1"/>
  <c r="F18" i="47" l="1"/>
  <c r="H18" i="47"/>
  <c r="E24" i="47"/>
  <c r="E31" i="47" s="1"/>
  <c r="E34" i="47" s="1"/>
  <c r="E36" i="47" s="1"/>
  <c r="E37" i="47" s="1"/>
  <c r="H24" i="47" l="1"/>
  <c r="H31" i="47" s="1"/>
  <c r="H34" i="47" s="1"/>
  <c r="BB24" i="44"/>
  <c r="F24" i="47"/>
  <c r="F31" i="47" s="1"/>
  <c r="F34" i="47" s="1"/>
  <c r="Y24" i="44"/>
  <c r="F36" i="47" l="1"/>
  <c r="Y42" i="44" s="1"/>
  <c r="AG42" i="44" s="1"/>
  <c r="BK24" i="44"/>
  <c r="BB27" i="44"/>
  <c r="AG24" i="44"/>
  <c r="Y27" i="44"/>
  <c r="H36" i="47"/>
  <c r="BB42" i="44" s="1"/>
  <c r="BK42" i="44" s="1"/>
  <c r="Y44" i="44" l="1"/>
  <c r="Y46" i="44" s="1"/>
  <c r="F37" i="47"/>
  <c r="H37" i="47"/>
  <c r="Y73" i="44"/>
  <c r="Y76" i="44" s="1"/>
  <c r="Y63" i="44"/>
  <c r="AH24" i="44"/>
  <c r="AH27" i="44" s="1"/>
  <c r="AH44" i="44" s="1"/>
  <c r="AH46" i="44" s="1"/>
  <c r="D24" i="43"/>
  <c r="AG27" i="44"/>
  <c r="AG44" i="44" s="1"/>
  <c r="AG46" i="44" s="1"/>
  <c r="AG73" i="44" s="1"/>
  <c r="AG76" i="44" s="1"/>
  <c r="BB44" i="44"/>
  <c r="BB46" i="44" s="1"/>
  <c r="F24" i="43"/>
  <c r="F27" i="43" s="1"/>
  <c r="BK27" i="44"/>
  <c r="BK44" i="44" s="1"/>
  <c r="BK46" i="44" s="1"/>
  <c r="BK73" i="44" s="1"/>
  <c r="BK76" i="44" s="1"/>
  <c r="F42" i="43"/>
  <c r="D42" i="43"/>
  <c r="E42" i="43" s="1"/>
  <c r="AH42" i="44"/>
  <c r="BL42" i="44" s="1"/>
  <c r="BL24" i="44" l="1"/>
  <c r="BL27" i="44" s="1"/>
  <c r="BL44" i="44" s="1"/>
  <c r="BL46" i="44" s="1"/>
  <c r="G42" i="43"/>
  <c r="F44" i="43"/>
  <c r="F46" i="43" s="1"/>
  <c r="F63" i="43" s="1"/>
  <c r="F64" i="43" s="1"/>
  <c r="AH50" i="44"/>
  <c r="AH73" i="44"/>
  <c r="AH76" i="44" s="1"/>
  <c r="BB73" i="44"/>
  <c r="BB76" i="44" s="1"/>
  <c r="BB63" i="44"/>
  <c r="E24" i="43"/>
  <c r="D27" i="43"/>
  <c r="D44" i="43" s="1"/>
  <c r="D46" i="43" s="1"/>
  <c r="D63" i="43" s="1"/>
  <c r="D64" i="43" s="1"/>
  <c r="Y64" i="44"/>
  <c r="AG63" i="44"/>
  <c r="BL73" i="44" l="1"/>
  <c r="BL76" i="44" s="1"/>
  <c r="BL50" i="44"/>
  <c r="BB64" i="44"/>
  <c r="BK64" i="44" s="1"/>
  <c r="BK63" i="44"/>
  <c r="AG64" i="44"/>
  <c r="AH63" i="44"/>
  <c r="AH64" i="44" s="1"/>
  <c r="G24" i="43"/>
  <c r="E27" i="43"/>
  <c r="E44" i="43" s="1"/>
  <c r="E46" i="43" s="1"/>
  <c r="E50" i="43" l="1"/>
  <c r="E63" i="43"/>
  <c r="E64" i="43" s="1"/>
  <c r="I24" i="43"/>
  <c r="I27" i="43" s="1"/>
  <c r="G27" i="43"/>
  <c r="G44" i="43" s="1"/>
  <c r="G46" i="43" s="1"/>
  <c r="BL63" i="44"/>
  <c r="BL64" i="44" s="1"/>
  <c r="C17" i="42" l="1"/>
  <c r="G50" i="43"/>
  <c r="G63" i="43"/>
  <c r="G64" i="43" s="1"/>
  <c r="C18" i="42" l="1"/>
  <c r="AM17" i="42"/>
  <c r="H43" i="50"/>
  <c r="H44" i="50" s="1"/>
  <c r="H3" i="50" s="1"/>
  <c r="AM18" i="42" l="1"/>
  <c r="I43" i="50"/>
  <c r="I44" i="50" s="1"/>
  <c r="I3" i="50" s="1"/>
  <c r="C21" i="42"/>
  <c r="AM21" i="42" l="1"/>
  <c r="K43" i="50"/>
  <c r="K44" i="50" s="1"/>
  <c r="K3" i="50" s="1"/>
  <c r="C28" i="42"/>
  <c r="AM28" i="42" s="1"/>
  <c r="H41" i="43"/>
  <c r="I41" i="43" s="1"/>
  <c r="H32" i="43"/>
  <c r="H42" i="43"/>
  <c r="I42" i="43" s="1"/>
  <c r="H14" i="43"/>
  <c r="H35" i="43"/>
  <c r="I35" i="43" s="1"/>
  <c r="I14" i="43" l="1"/>
  <c r="I18" i="43" s="1"/>
  <c r="H18" i="43"/>
  <c r="H44" i="43"/>
  <c r="I32" i="43"/>
  <c r="I44" i="43" s="1"/>
  <c r="I11" i="43" l="1"/>
  <c r="H46" i="43"/>
  <c r="H63" i="43" s="1"/>
  <c r="H64" i="43" s="1"/>
  <c r="I46" i="43"/>
  <c r="I63" i="43" l="1"/>
  <c r="I64" i="43" s="1"/>
  <c r="I50" i="43"/>
  <c r="D63" i="51" l="1"/>
  <c r="C64" i="51"/>
  <c r="C14" i="51" s="1"/>
  <c r="C54" i="51" l="1"/>
  <c r="D14" i="51"/>
  <c r="D64" i="51"/>
  <c r="G63" i="51"/>
  <c r="H63" i="51" s="1"/>
  <c r="D54" i="51" l="1"/>
  <c r="F23" i="51" l="1"/>
  <c r="G23" i="51" s="1"/>
  <c r="H23" i="51" s="1"/>
  <c r="I23" i="51" s="1"/>
  <c r="K23" i="51" s="1"/>
  <c r="F62" i="51" l="1"/>
  <c r="F16" i="51"/>
  <c r="G16" i="51" s="1"/>
  <c r="H16" i="51" s="1"/>
  <c r="I16" i="51" s="1"/>
  <c r="K16" i="51" s="1"/>
  <c r="F17" i="51"/>
  <c r="G17" i="51" s="1"/>
  <c r="H17" i="51" s="1"/>
  <c r="I17" i="51" s="1"/>
  <c r="K17" i="51" s="1"/>
  <c r="F64" i="51" l="1"/>
  <c r="F14" i="51" s="1"/>
  <c r="G62" i="51"/>
  <c r="H62" i="51" l="1"/>
  <c r="H64" i="51" s="1"/>
  <c r="G64" i="51"/>
  <c r="F54" i="51"/>
  <c r="G14" i="51"/>
  <c r="H14" i="51" l="1"/>
  <c r="G54" i="51"/>
  <c r="I14" i="51"/>
  <c r="K14" i="51" l="1"/>
  <c r="H36" i="51" l="1"/>
  <c r="I36" i="51" s="1"/>
  <c r="K36" i="51" s="1"/>
  <c r="H35" i="51"/>
  <c r="I35" i="51" s="1"/>
  <c r="K35" i="51" s="1"/>
  <c r="H34" i="51"/>
  <c r="I34" i="51" s="1"/>
  <c r="K34" i="51" s="1"/>
  <c r="H33" i="51"/>
  <c r="I33" i="51" l="1"/>
  <c r="H54" i="51"/>
  <c r="K33" i="51" l="1"/>
  <c r="I54" i="51"/>
  <c r="P24" i="42" l="1"/>
  <c r="P16" i="42"/>
  <c r="C32" i="42" l="1"/>
  <c r="P28" i="42"/>
  <c r="C30" i="42" l="1"/>
  <c r="AM32" i="42"/>
  <c r="AM30" i="42" l="1"/>
  <c r="AM36" i="42"/>
  <c r="AM34" i="42"/>
  <c r="I55" i="51" s="1"/>
  <c r="L30" i="51" l="1"/>
  <c r="I56" i="51"/>
  <c r="I58" i="51" s="1"/>
  <c r="J58" i="51" s="1"/>
</calcChain>
</file>

<file path=xl/sharedStrings.xml><?xml version="1.0" encoding="utf-8"?>
<sst xmlns="http://schemas.openxmlformats.org/spreadsheetml/2006/main" count="2372" uniqueCount="952">
  <si>
    <t>OPERATING REVENUES</t>
  </si>
  <si>
    <t>SALES TO CUSTOMERS</t>
  </si>
  <si>
    <t>SALES FROM RESALE-FIRM/SPECIAL CONTRACT</t>
  </si>
  <si>
    <t>SALES TO OTHER UTILITIES</t>
  </si>
  <si>
    <t>OTHER OPERATING REVENUES</t>
  </si>
  <si>
    <t>TOTAL OPERATING REVENUES</t>
  </si>
  <si>
    <t>OPERATING REVENUE DEDUCTIONS:</t>
  </si>
  <si>
    <t>POWER COSTS:</t>
  </si>
  <si>
    <t xml:space="preserve"> FUEL</t>
  </si>
  <si>
    <t xml:space="preserve"> PURCHASED AND INTERCHANGED</t>
  </si>
  <si>
    <t xml:space="preserve"> WHEELING</t>
  </si>
  <si>
    <t xml:space="preserve"> RESIDENTIAL EXCHANGE</t>
  </si>
  <si>
    <t>TOTAL PRODUCTION EXPENSES</t>
  </si>
  <si>
    <t>OTHER POWER SUPPLY EXPENSES</t>
  </si>
  <si>
    <t>TRANSMISSION EXPENSE</t>
  </si>
  <si>
    <t>DISTRIBUTION EXPENSE</t>
  </si>
  <si>
    <t>CUSTOMER ACCTS EXPENSES</t>
  </si>
  <si>
    <t>CUSTOMER SERVICE EXPENSES</t>
  </si>
  <si>
    <t>CONSERVATION AMORTIZATION</t>
  </si>
  <si>
    <t>ADMIN &amp; GENERAL EXPENSE</t>
  </si>
  <si>
    <t>DEPRECIATION</t>
  </si>
  <si>
    <t>AMORTIZATION</t>
  </si>
  <si>
    <t>AMORTIZ OF PROPERTY GAIN/LOSS</t>
  </si>
  <si>
    <t>OTHER OPERATING EXPENSES</t>
  </si>
  <si>
    <t>ASC 815</t>
  </si>
  <si>
    <t>TAXES OTHER THAN INCOME TAXES</t>
  </si>
  <si>
    <t>INCOME TAXES</t>
  </si>
  <si>
    <t>DEFERRED INCOME TAXES</t>
  </si>
  <si>
    <t>TOTAL OPERATING REV. DEDUCT.</t>
  </si>
  <si>
    <t>NET OPERATING INCOME</t>
  </si>
  <si>
    <t xml:space="preserve">RATE BASE </t>
  </si>
  <si>
    <t>RATE OF RETURN</t>
  </si>
  <si>
    <t>RATE BASE:</t>
  </si>
  <si>
    <t>GROSS UTILITY PLANT IN SERVICE</t>
  </si>
  <si>
    <t>ACCUM DEPR AND AMORT</t>
  </si>
  <si>
    <t xml:space="preserve">  DEFERRED DEBITS AND CREDITS</t>
  </si>
  <si>
    <t xml:space="preserve">  DEFERRED TAXES</t>
  </si>
  <si>
    <t xml:space="preserve">  ALLOWANCE FOR WORKING CAPITAL</t>
  </si>
  <si>
    <t xml:space="preserve">  OTHER</t>
  </si>
  <si>
    <t>TOTAL RATE BASE</t>
  </si>
  <si>
    <t>ACTUAL</t>
  </si>
  <si>
    <t>RESULTS OF</t>
  </si>
  <si>
    <t xml:space="preserve">OPERATIONS </t>
  </si>
  <si>
    <t>LINE</t>
  </si>
  <si>
    <t>NO.</t>
  </si>
  <si>
    <t xml:space="preserve">PUGET SOUND ENERGY </t>
  </si>
  <si>
    <t>POWER</t>
  </si>
  <si>
    <t>COSTS</t>
  </si>
  <si>
    <t>TAX</t>
  </si>
  <si>
    <t>ASC</t>
  </si>
  <si>
    <t>REVENUES</t>
  </si>
  <si>
    <t>FEDERAL</t>
  </si>
  <si>
    <t>ADJUSTMENT</t>
  </si>
  <si>
    <t>&amp; EXPENSES</t>
  </si>
  <si>
    <t>INCOME TAX</t>
  </si>
  <si>
    <t>D&amp;O</t>
  </si>
  <si>
    <t>DEFERRED G/L ON</t>
  </si>
  <si>
    <t>PROPERTY &amp;</t>
  </si>
  <si>
    <t>WAGE</t>
  </si>
  <si>
    <t>INVESTMENT</t>
  </si>
  <si>
    <t>EMPLOYEE</t>
  </si>
  <si>
    <t>INSURANCE</t>
  </si>
  <si>
    <t>PROPERTY SALES</t>
  </si>
  <si>
    <t>LIABILITY INS</t>
  </si>
  <si>
    <t>PLAN</t>
  </si>
  <si>
    <t>INCREASE</t>
  </si>
  <si>
    <t>TOTAL</t>
  </si>
  <si>
    <t>ADJUSTED</t>
  </si>
  <si>
    <t>AFTER</t>
  </si>
  <si>
    <t>ADJUSTMENTS</t>
  </si>
  <si>
    <t>RATE</t>
  </si>
  <si>
    <t>OPERATIONS</t>
  </si>
  <si>
    <t>ELECTRIC RESULTS OF OPERATIONS</t>
  </si>
  <si>
    <t>DESCRIPTION</t>
  </si>
  <si>
    <t>RATE BASE</t>
  </si>
  <si>
    <t>OPERATING INCOME REQUIREMENT</t>
  </si>
  <si>
    <t>PRO FORMA OPERATING INCOME</t>
  </si>
  <si>
    <t>OPERATING INCOME DEFICIENCY</t>
  </si>
  <si>
    <t>CONVERSION FACTOR</t>
  </si>
  <si>
    <t>GENERAL RATE INCREASE</t>
  </si>
  <si>
    <t>EQUITY</t>
  </si>
  <si>
    <t>TOTAL AFTER TAX COST OF CAPITAL</t>
  </si>
  <si>
    <t>BAD DEBTS</t>
  </si>
  <si>
    <t>ANNUAL FILING FEE</t>
  </si>
  <si>
    <t>SUM OF TAXES OTHER</t>
  </si>
  <si>
    <t>FIT</t>
  </si>
  <si>
    <t>CASE</t>
  </si>
  <si>
    <t>TESTYEAR</t>
  </si>
  <si>
    <t>DOCKETNUMBER</t>
  </si>
  <si>
    <t>Exhibit No.</t>
  </si>
  <si>
    <t>EXHIBIT</t>
  </si>
  <si>
    <t>PUGET SOUND ENERGY-ELECTRIC</t>
  </si>
  <si>
    <t>POWER COST</t>
  </si>
  <si>
    <t>PROFORMA</t>
  </si>
  <si>
    <t>INCREASE (DECREASE) INCOME</t>
  </si>
  <si>
    <t>INCREASE (DECREASE) NOI</t>
  </si>
  <si>
    <t>MONTANA ELECTRIC ENERGY TAX</t>
  </si>
  <si>
    <t>INCREASE (DECREASE) EXPENSE</t>
  </si>
  <si>
    <t>WILD HORSE SOLAR</t>
  </si>
  <si>
    <t>PLANT BALANCE</t>
  </si>
  <si>
    <t xml:space="preserve">ACCUM DEPRECIATION </t>
  </si>
  <si>
    <t>DEFERRED INCOME TAX LIABILITY</t>
  </si>
  <si>
    <t>DEPRECIATION EXPENSE</t>
  </si>
  <si>
    <t>INCREASE (DECREASE ) EXPENSE</t>
  </si>
  <si>
    <t>ACCOUNTING STANDARDS CODIFICATION 815 (FORMERLY SFAS 133)</t>
  </si>
  <si>
    <t>RESTATED</t>
  </si>
  <si>
    <t>ASC 815 OPERATING EXPENSE</t>
  </si>
  <si>
    <t>INCREASE (DECREASE) IN EXPENSE</t>
  </si>
  <si>
    <t>INCREASE(DECREASE) OPERATING INCOME</t>
  </si>
  <si>
    <t>STORM DAMAGE</t>
  </si>
  <si>
    <t>INCREASE (DECREASE) OPERATING EXPENSE</t>
  </si>
  <si>
    <t>REGULATORY ASSETS AND LIABILITIES</t>
  </si>
  <si>
    <t>AMA OF REGULATORY ASSET/LIABILITY NET OF ACCUM AMORT AND DFIT</t>
  </si>
  <si>
    <t>WESTCOAST PIPELINE CAPACITY - UE-082013 (FB ENERGY)</t>
  </si>
  <si>
    <t>WESTCOAST PIPELINE CAPACITY - UE-100503 (BNP PARIBUS)</t>
  </si>
  <si>
    <t>AMORTIZATION OF REGULATORY ASSET/LIABILITY</t>
  </si>
  <si>
    <t>INCREASE (DECREASE) FIT</t>
  </si>
  <si>
    <t>PURCHASED POWER</t>
  </si>
  <si>
    <t>OTHER POWER SUPPLY</t>
  </si>
  <si>
    <t>PAYROLL TAXES</t>
  </si>
  <si>
    <t>INCREASE(DECREASE) EXPENSE</t>
  </si>
  <si>
    <t>INCREASE(DECREASE) NOI</t>
  </si>
  <si>
    <t>Description</t>
  </si>
  <si>
    <t>Comp</t>
  </si>
  <si>
    <t>RY</t>
  </si>
  <si>
    <t>UNCOLLECTIBLES @</t>
  </si>
  <si>
    <t>ANNUAL FILING FEE @</t>
  </si>
  <si>
    <t>STATE UTILITY TAX @</t>
  </si>
  <si>
    <t>INCREASE (DECREASE) FIT @</t>
  </si>
  <si>
    <t>REVENUES AND EXPENSES</t>
  </si>
  <si>
    <t>REMOVE REVENUE ASSOCIATED WITH RIDERS:</t>
  </si>
  <si>
    <t>REMOVE CONSERVATION RIDER - SCHEDULE 120</t>
  </si>
  <si>
    <t>REMOVE MUNICIPAL TAXES - SCHEDULE 81</t>
  </si>
  <si>
    <t>REMOVE LOW INCOME AMORTIZATION - SCHEDULE 129</t>
  </si>
  <si>
    <t>REMOVE RESIDENTIAL EXCHANGE - SCH 194</t>
  </si>
  <si>
    <t>GREEN POWER - SCH 135/136 (TAGS ELIM IN PAGE 4.03)</t>
  </si>
  <si>
    <t>GREEN POWER - SCH 135/136 ELIMINATE UNDER EXPENSED</t>
  </si>
  <si>
    <t>DECREASE REVENUE SENSITIVE ITEMS FOR DECREASE IN REVENUES:</t>
  </si>
  <si>
    <t>STATE UTILITY TAX</t>
  </si>
  <si>
    <t>REMOVE EXPENSES ASSOCIATED WITH RIDERS</t>
  </si>
  <si>
    <t>GREEN POWER - SCH 135/136 BENEFITS PORTION OF ADMIN</t>
  </si>
  <si>
    <t>GREEN POWER - SCH 135/136 TAXES PORTION OF ADMIN</t>
  </si>
  <si>
    <t>TOTAL INCREASE (DECREASE) EXPENSE</t>
  </si>
  <si>
    <t>INCREASE (DECREASE) OPERATING INCOME BEFORE FIT</t>
  </si>
  <si>
    <t>PASS-THROUGH REVENUES AND EXPENSES</t>
  </si>
  <si>
    <t>FEDERAL INCOME TAX</t>
  </si>
  <si>
    <t>INCREASE(DECREASE) FIT</t>
  </si>
  <si>
    <t>INCREASE(DECREASE) DEFERRED FIT</t>
  </si>
  <si>
    <t xml:space="preserve">INCREASE(DECREASE) NOI </t>
  </si>
  <si>
    <t>TAX BENEFIT OF PRO FORMA INTEREST</t>
  </si>
  <si>
    <t xml:space="preserve"> </t>
  </si>
  <si>
    <t>NET RATE BASE</t>
  </si>
  <si>
    <t>WEIGHTED COST OF DEBT</t>
  </si>
  <si>
    <t>PROFORMA INTEREST</t>
  </si>
  <si>
    <t xml:space="preserve">INCREASE (DECREASE) FIT @ </t>
  </si>
  <si>
    <t>INCREASE(DECREASE) FIT @</t>
  </si>
  <si>
    <t>NORMALIZE INJURIES AND DAMAGES</t>
  </si>
  <si>
    <t>INJURIES &amp; DAMAGES ACCRUALS</t>
  </si>
  <si>
    <t>INJURIES &amp; DAMAGES PAYMENTS IN EXCESS OF ACCRUALS</t>
  </si>
  <si>
    <t>INCREASE/(DECREASE) IN EXPENSE</t>
  </si>
  <si>
    <t>INCREASE/(DECREASE) IN OPERATING EXPENSE (LINE 3)</t>
  </si>
  <si>
    <t>INCENTIVE PAY</t>
  </si>
  <si>
    <t>TRANSMISSION</t>
  </si>
  <si>
    <t>DISTRIBUTION</t>
  </si>
  <si>
    <t>CUSTOMER ACCTS</t>
  </si>
  <si>
    <t>CUSTOMER SERVICE</t>
  </si>
  <si>
    <t>SALES</t>
  </si>
  <si>
    <t>ADMIN. &amp; GENERAL</t>
  </si>
  <si>
    <t>EXCISE TAX &amp; FILING FEE</t>
  </si>
  <si>
    <t>D &amp; O INS. CHG  EXPENSE</t>
  </si>
  <si>
    <t>DIRECTORS &amp; OFFICERS INSURANCE</t>
  </si>
  <si>
    <t>INTEREST ON CUSTOMER DEPOSITS</t>
  </si>
  <si>
    <t>INTEREST EXPENSE AT MOST CURRENT INTEREST RATE</t>
  </si>
  <si>
    <t>RATE CASE EXPENSES</t>
  </si>
  <si>
    <t>EXPENSES TO BE NORMALIZED:</t>
  </si>
  <si>
    <t>PROPERTY &amp; LIABILITY INSURANCE</t>
  </si>
  <si>
    <t>DEFERRED GAINS/LOSSES ON PROPERTY SALES</t>
  </si>
  <si>
    <t>PROPERTY INSURANCE EXPENSE</t>
  </si>
  <si>
    <t>LIABILITY INSURANCE EXPENSE</t>
  </si>
  <si>
    <t>PENSION PLAN</t>
  </si>
  <si>
    <t>QUALIFIED RETIREMENT FUND</t>
  </si>
  <si>
    <t>WAGE INCREASE</t>
  </si>
  <si>
    <t>WAGES:</t>
  </si>
  <si>
    <t>TOTAL WAGE INCREASE</t>
  </si>
  <si>
    <t>TOTAL WAGES &amp; TAXES</t>
  </si>
  <si>
    <t>INVESTMENT PLAN</t>
  </si>
  <si>
    <t>INVESTMENT PLAN APPLICABLE TO MANAGEMENT</t>
  </si>
  <si>
    <t>IBEW</t>
  </si>
  <si>
    <t>INVESTMENT PLAN APPLICABLE TO IBEW</t>
  </si>
  <si>
    <t>UA</t>
  </si>
  <si>
    <t>INVESTMENT PLAN APPLICABLE TO UA</t>
  </si>
  <si>
    <t>BENEFIT CONTRIBUTION:</t>
  </si>
  <si>
    <t>UNION EMPLOYEES</t>
  </si>
  <si>
    <t>APPLICABLE TO OPERATIONS @</t>
  </si>
  <si>
    <t>NOI</t>
  </si>
  <si>
    <t>ROR</t>
  </si>
  <si>
    <t>EMPLOYEE INSURANCE</t>
  </si>
  <si>
    <t>12 ME APRIL 2021</t>
  </si>
  <si>
    <t>COMMON</t>
  </si>
  <si>
    <t>ELECTRIC</t>
  </si>
  <si>
    <t>REMEDIATION</t>
  </si>
  <si>
    <t>2019 GENERAL RATE CASE</t>
  </si>
  <si>
    <t>TOTAL INCREASE (DECREASE) OPERATING EXPENSE</t>
  </si>
  <si>
    <t>ENVIROMENTAL REMEDIATION</t>
  </si>
  <si>
    <t>SHORT AND LONG TERM DEBT</t>
  </si>
  <si>
    <t>REMOVE PROPERTY TAX TRACKER - SCHEDULE 140</t>
  </si>
  <si>
    <t>REMOVE REC PROCEEDS - SCH 137</t>
  </si>
  <si>
    <t>REMOVE EXPENSES ASSOCIATED WITH SCH 137 REC PROCEEDS</t>
  </si>
  <si>
    <t>REMOVE DECOUPLING SCH 142 REVENUE</t>
  </si>
  <si>
    <t>REMOVE DECOUPLING SCH 142 SURCHARGE AMORT EXPENSE</t>
  </si>
  <si>
    <t>REMOVE PROPERTY TAX AMORTIZATION EXP - SCHEDULE 140</t>
  </si>
  <si>
    <t>REMOVE AMORT ON INTEREST ON REC PROCEEDS SCH 137</t>
  </si>
  <si>
    <t>GREEN POWER - SCH 135/136 CHARGED TO C.99999.03.37.01</t>
  </si>
  <si>
    <t>EXPENSES OF LAST 2 COMPLETED GRCS</t>
  </si>
  <si>
    <t xml:space="preserve">      2017 AND 2011 GRC EXPENSES TO BE NORMALIZED</t>
  </si>
  <si>
    <t xml:space="preserve">EXPENSES OF LAST 2 COMPLETED PCORCS </t>
  </si>
  <si>
    <t xml:space="preserve">     2014 AND 2013 PCORC EXPENSES TO BE NORMALIZED</t>
  </si>
  <si>
    <t>TOTAL INCENTIVE / MERIT PAY</t>
  </si>
  <si>
    <t>PAYROLL TAXES ASSOCI WITH MERIT PAY</t>
  </si>
  <si>
    <t>INCREASE (DECREASE ) IN EXPENSE</t>
  </si>
  <si>
    <t>EXCISE TAXES</t>
  </si>
  <si>
    <t>WUTC FILING FEE</t>
  </si>
  <si>
    <t>INCREASE(DECREASE) EXCISE AND WUTC FILING FEE</t>
  </si>
  <si>
    <t xml:space="preserve">INCREASE(DECREASE) OPERATING EXPENSE </t>
  </si>
  <si>
    <t>INCREASE(DECREASE) OPERATING EXPENSE (LINE 3)</t>
  </si>
  <si>
    <t>Puget Sound Energy</t>
  </si>
  <si>
    <t>MINT FARM DEFFRED - UE-090704 (FERC 407.3)</t>
  </si>
  <si>
    <t>CHELAN PUD</t>
  </si>
  <si>
    <t xml:space="preserve">CHELAN - ROCK ISLAND SECURITY DEPOSIT </t>
  </si>
  <si>
    <t>COLSTRIP 1&amp;2 (WECo) PREPAYMENT</t>
  </si>
  <si>
    <t>LOWER SNAKE RIVER PP TRANSM PRINCIPAL $99.8M</t>
  </si>
  <si>
    <t>CARRYING CHARGES ON LSR PP TRANSM $99.8M (FERC 407.3)</t>
  </si>
  <si>
    <t>BAKER LICENSE UPGRADE DEFERRAL (2013 PCORC) (FERC 407.3)</t>
  </si>
  <si>
    <t>SNOQUALMIE LICENSE UPGRADE DEFERRAL (2013 PCORC) (FERC 407.3)</t>
  </si>
  <si>
    <t>FERNDALE DEFERRAL (2013 PCORC) (FERC 407.3)</t>
  </si>
  <si>
    <t>BAKER TREASURY GRANT DEFERRAL (2014 PCORC) (FERC 407.4)</t>
  </si>
  <si>
    <t>SNOQUALMIE TREASURY GRANT DEFERRAL (2014 PCORC) (FERC 407.4)</t>
  </si>
  <si>
    <t>ELECTRON UNRECOVERED COST (2014 PCORC) (FERC 407.3)</t>
  </si>
  <si>
    <t>TOTAL REGULATORY ASSETS</t>
  </si>
  <si>
    <t>|------------  (Note 1)  ------------|</t>
  </si>
  <si>
    <t>TOTAL AMORTIZATION OF REG ASSETS/LIABS</t>
  </si>
  <si>
    <t xml:space="preserve">TOTAL REGULATORY AMORT </t>
  </si>
  <si>
    <t xml:space="preserve">INCREASE (DECREASE) FIT </t>
  </si>
  <si>
    <t>CF</t>
  </si>
  <si>
    <t>Surplus / (Deficiency)</t>
  </si>
  <si>
    <t>Revenue Requirement or (Surplus)</t>
  </si>
  <si>
    <t>RESTATING</t>
  </si>
  <si>
    <t>PROFORMING</t>
  </si>
  <si>
    <t xml:space="preserve">RESTATING </t>
  </si>
  <si>
    <t>`</t>
  </si>
  <si>
    <t>OPEN</t>
  </si>
  <si>
    <t>DFIT</t>
  </si>
  <si>
    <t>AMI</t>
  </si>
  <si>
    <t>INCREASE(DECREASE) FIT @ 21%</t>
  </si>
  <si>
    <t>%'s</t>
  </si>
  <si>
    <t xml:space="preserve">UNCOLLECTIBLES CHARGED TO EXPENSE </t>
  </si>
  <si>
    <t>TY</t>
  </si>
  <si>
    <t>(a)</t>
  </si>
  <si>
    <t>(b)</t>
  </si>
  <si>
    <t>(c)=(b)-(a)</t>
  </si>
  <si>
    <t>(d)</t>
  </si>
  <si>
    <t>(e)=(d)-(b)</t>
  </si>
  <si>
    <t>WILD HORSE SOLAR RATEBASE (AMA)</t>
  </si>
  <si>
    <t>UTILITY PLANT RATEBASE</t>
  </si>
  <si>
    <t>NET WH SOLAR PLANT RATEBASE</t>
  </si>
  <si>
    <t>WILD HORSE SOLAR OPERATING EXPENSE</t>
  </si>
  <si>
    <t>12 MONTHS ENDED DECEMBER 31, 2018</t>
  </si>
  <si>
    <t>ELECTRIC STATEMENT OF OPERATING INCOME</t>
  </si>
  <si>
    <t>AND ADJUSTMENTS</t>
  </si>
  <si>
    <t>a</t>
  </si>
  <si>
    <t>b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</si>
  <si>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</si>
  <si>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</si>
  <si>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</si>
  <si>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</si>
  <si>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</si>
  <si>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</si>
  <si>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</si>
  <si>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</si>
  <si>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</si>
  <si>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</si>
  <si>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</si>
  <si>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u</t>
  </si>
  <si>
    <t>v</t>
  </si>
  <si>
    <t>ab</t>
  </si>
  <si>
    <t>ac</t>
  </si>
  <si>
    <t>ah</t>
  </si>
  <si>
    <t>ai</t>
  </si>
  <si>
    <t>aj</t>
  </si>
  <si>
    <t>am</t>
  </si>
  <si>
    <t>an</t>
  </si>
  <si>
    <t>ao</t>
  </si>
  <si>
    <t>ap</t>
  </si>
  <si>
    <t>ar</t>
  </si>
  <si>
    <t>as</t>
  </si>
  <si>
    <t>at</t>
  </si>
  <si>
    <t>au</t>
  </si>
  <si>
    <t>aw</t>
  </si>
  <si>
    <t>av</t>
  </si>
  <si>
    <t>ay</t>
  </si>
  <si>
    <t>az</t>
  </si>
  <si>
    <t>ba</t>
  </si>
  <si>
    <t>bc</t>
  </si>
  <si>
    <t>bd</t>
  </si>
  <si>
    <t>bf</t>
  </si>
  <si>
    <t>bg</t>
  </si>
  <si>
    <t>TEMPERATURE</t>
  </si>
  <si>
    <t>TAX BENEFIT OF</t>
  </si>
  <si>
    <t>PASS-THROUGH</t>
  </si>
  <si>
    <t>INJURIES &amp;</t>
  </si>
  <si>
    <t>BAD</t>
  </si>
  <si>
    <t>INCENTIVE</t>
  </si>
  <si>
    <t xml:space="preserve">EXCISE TAX </t>
  </si>
  <si>
    <t>RATE CASE</t>
  </si>
  <si>
    <t>PENSION</t>
  </si>
  <si>
    <t>AMA TO EOP</t>
  </si>
  <si>
    <t>ANNUALIZE</t>
  </si>
  <si>
    <t>MONTANA</t>
  </si>
  <si>
    <t>WILD HORSE</t>
  </si>
  <si>
    <t xml:space="preserve">STORM </t>
  </si>
  <si>
    <t>CREDIT  CARD</t>
  </si>
  <si>
    <t xml:space="preserve">REGULATORY </t>
  </si>
  <si>
    <t>NORMALIZATION</t>
  </si>
  <si>
    <t>REV &amp; EXP</t>
  </si>
  <si>
    <t>DAMAGES</t>
  </si>
  <si>
    <t>DEBTS</t>
  </si>
  <si>
    <t>PAY</t>
  </si>
  <si>
    <t>&amp; FILING FEE</t>
  </si>
  <si>
    <t>CUST DEPOSITS</t>
  </si>
  <si>
    <t>EXPENSE</t>
  </si>
  <si>
    <t>RENT EXP</t>
  </si>
  <si>
    <t>SOLAR</t>
  </si>
  <si>
    <t>815</t>
  </si>
  <si>
    <t>DAMAGE</t>
  </si>
  <si>
    <t/>
  </si>
  <si>
    <t>AMORT</t>
  </si>
  <si>
    <t>COST</t>
  </si>
  <si>
    <t>ASSETS &amp; LIAB</t>
  </si>
  <si>
    <t>ENVIRON</t>
  </si>
  <si>
    <t>INTEREST</t>
  </si>
  <si>
    <t>COST OF CAPITAL - GRC</t>
  </si>
  <si>
    <t>restating ROR</t>
  </si>
  <si>
    <t xml:space="preserve">AMORTIZATION of NET DEFERRED GAIN </t>
  </si>
  <si>
    <t>APPROVED IN  UE-170033 &amp; PENDING APPROVAL</t>
  </si>
  <si>
    <t>INCREASE (DECREASE) EXPENSE  (LINE 2)</t>
  </si>
  <si>
    <t>AMA TO EOP RATE BASE</t>
  </si>
  <si>
    <t xml:space="preserve">INTEREST ON </t>
  </si>
  <si>
    <t>WHITE RIVER PLANT COSTS (2004 GRC)</t>
  </si>
  <si>
    <t>AFTER TAX SHORT TERM DEBT ( (LINE 1)* 79%)</t>
  </si>
  <si>
    <t>UE-__________</t>
  </si>
  <si>
    <t>CAPITAL</t>
  </si>
  <si>
    <t>STRUCTURE</t>
  </si>
  <si>
    <t>WEIGHTED</t>
  </si>
  <si>
    <t>reversing</t>
  </si>
  <si>
    <t>REMOVE SCHEDULE 132 - MERGER RATE CREDIT</t>
  </si>
  <si>
    <t>REMOVE SCHEDULE 95A - FEDERAL INCENTIVE TRACKER</t>
  </si>
  <si>
    <t>REMOVE SCHEDULE 95 - POWER COST ONLY RATE CASE</t>
  </si>
  <si>
    <t>REMOVE SCHEDULE 141 - EXPEDITED RATE FILING</t>
  </si>
  <si>
    <t>OTHER</t>
  </si>
  <si>
    <t>REMOVE OVEREARNINGS ACCRUALS</t>
  </si>
  <si>
    <t>REMOVE CURRENT PERIOD DECOUPLING DEFERRALS</t>
  </si>
  <si>
    <t>REMOVE REVENUE DEFERRALS FOR TAX REFORM</t>
  </si>
  <si>
    <t>REMOVE SCHEDULE 95A TREASURY GRANTS AMORTIZATION OF INTEREST AND GRANTS</t>
  </si>
  <si>
    <t>TOTAL INCREASE (DECREASE) EXPENSES</t>
  </si>
  <si>
    <t>TOTAL INCREASE (DECREASE) RSI</t>
  </si>
  <si>
    <t xml:space="preserve">STATE UTILITY TAX </t>
  </si>
  <si>
    <t>ADJUSTMENTS TO SALES TO CUSTOMERS</t>
  </si>
  <si>
    <t>ADJUSTMENTS TO OTHER OPERATING REVENUES</t>
  </si>
  <si>
    <t>REMOVE ACCRUAL FOR FUTURE PTC LIABILITY</t>
  </si>
  <si>
    <t>RECLASSIFY TRANPORTATION REVENUES TO SALES TO CUSTOMERS</t>
  </si>
  <si>
    <t>GPI IN KWH</t>
  </si>
  <si>
    <t>AVERAGE PRICING PER KWH</t>
  </si>
  <si>
    <t>INCREASE (DECREASE) OPERATING INCOME BEFORE INCOME TAXES</t>
  </si>
  <si>
    <t>PORTION OF LINE 6 ASSOCIATED WITH WHOLESALE CUSTOMERS</t>
  </si>
  <si>
    <t>PORTION OF LINE 6 ASSOCIATED WITH RETAIL CUSTOMERS</t>
  </si>
  <si>
    <t>REMOVE MUNICIPAL TAXES - SCHEDULE 81 - RETAIL CUSTOMERS</t>
  </si>
  <si>
    <t>REMOVE MUNICIPAL TAXES - SCHEDULE 81 - WHOLESALE CUSTOMERS</t>
  </si>
  <si>
    <t>403 ELEC. DEPRECIATION EXPENSE</t>
  </si>
  <si>
    <t>403 ELEC. PORTION OF COMMON</t>
  </si>
  <si>
    <t>SUBTOTAL DEPRECIATION EXPENSE 403</t>
  </si>
  <si>
    <t>403.1 ELEC. ASSET RETIREMENT COST DEPRECIATION</t>
  </si>
  <si>
    <t>411.10 ELEC. ASSET RETIREMENT OBLIGATION ACCRETION</t>
  </si>
  <si>
    <t>TOTAL DEPRECIATION AND ACCRETION</t>
  </si>
  <si>
    <t>ADJUSTMENT TO RATE BASE</t>
  </si>
  <si>
    <t>ADJUSTMENT TO ACCUM. DEPREC. AT 100% DEPREC. EXP. LINE 8</t>
  </si>
  <si>
    <t>TOTAL ADJUSTMENT TO RATEBASE</t>
  </si>
  <si>
    <t>PROPERTY AND</t>
  </si>
  <si>
    <t>LIAB INSURANCE</t>
  </si>
  <si>
    <t>STORM DAMAGE EXPENSE - DISTRIBUTION</t>
  </si>
  <si>
    <t>STORM DAMAGE EXPENSE - TRANSMISSION</t>
  </si>
  <si>
    <t>DEFERRED STORM DAMAGE AMORTIZATION EXPENSE</t>
  </si>
  <si>
    <t>NON-UNION EMPLOYEES</t>
  </si>
  <si>
    <t>TOTAL INSURANCE COSTS</t>
  </si>
  <si>
    <t>CHARGED TO EXPENSE</t>
  </si>
  <si>
    <t xml:space="preserve"> INSURANCE</t>
  </si>
  <si>
    <t>o</t>
  </si>
  <si>
    <t>NON-UNION (INC. EXECUTIVES)</t>
  </si>
  <si>
    <t>COSTS APPLICABLE TO OPERATIONS</t>
  </si>
  <si>
    <t>PAYROLL TAX</t>
  </si>
  <si>
    <t>WAGE &amp;</t>
  </si>
  <si>
    <t xml:space="preserve">INCREASE (DECREASE) FIT @ 21% </t>
  </si>
  <si>
    <t>EIM</t>
  </si>
  <si>
    <t>ANNUALIZE RENT EXPENSE</t>
  </si>
  <si>
    <t>Total</t>
  </si>
  <si>
    <t>INCENTIVE / MERIT PAY:</t>
  </si>
  <si>
    <t>EIM EXPENSE</t>
  </si>
  <si>
    <t>ENERGY IMBALANCE MARKET ("EIM")</t>
  </si>
  <si>
    <t>PUBLIC IMPROVEMENT</t>
  </si>
  <si>
    <t>REMOVE UNPRO-</t>
  </si>
  <si>
    <t>TECTED DFIT</t>
  </si>
  <si>
    <t>PUBLIC</t>
  </si>
  <si>
    <t>IMPROVEMENT</t>
  </si>
  <si>
    <t>HIGH MOLECULAR</t>
  </si>
  <si>
    <t>WEIGHT CABLE</t>
  </si>
  <si>
    <t>HIGH MOLECULAR WEIGHT CABLE</t>
  </si>
  <si>
    <t xml:space="preserve">p </t>
  </si>
  <si>
    <t xml:space="preserve">q </t>
  </si>
  <si>
    <t>r</t>
  </si>
  <si>
    <t>s</t>
  </si>
  <si>
    <t>t</t>
  </si>
  <si>
    <t xml:space="preserve">w </t>
  </si>
  <si>
    <t>x</t>
  </si>
  <si>
    <t>y</t>
  </si>
  <si>
    <t>z</t>
  </si>
  <si>
    <t>bb</t>
  </si>
  <si>
    <t>af</t>
  </si>
  <si>
    <t>ak</t>
  </si>
  <si>
    <t>al</t>
  </si>
  <si>
    <t>PSE BLDG</t>
  </si>
  <si>
    <t>EST BLDG</t>
  </si>
  <si>
    <t xml:space="preserve">DEFERRED FIT </t>
  </si>
  <si>
    <t>TOTAL  RATEBASE</t>
  </si>
  <si>
    <t>RATEBASE (AMA) UTILITY PLANT RATEBASE</t>
  </si>
  <si>
    <t>PLANT ADDITIONS JAN-JUN 2019  (1)</t>
  </si>
  <si>
    <t>ACCUM DEPRECIATION  (1)</t>
  </si>
  <si>
    <t>DEFERRED INCOME TAX LIABILITY  (1)</t>
  </si>
  <si>
    <t>OPERATING EXPENSE</t>
  </si>
  <si>
    <t>DEPRECIATION EXPENSE  (1)</t>
  </si>
  <si>
    <t>TOTAL OPERATING EXPENSES</t>
  </si>
  <si>
    <t>TOTAL PLANT</t>
  </si>
  <si>
    <t>CONTRACT</t>
  </si>
  <si>
    <t>ESCALATIONS</t>
  </si>
  <si>
    <t>CONTRACT ESCALATIONS</t>
  </si>
  <si>
    <t>DEPRECIATION DEFERRAL  (3)</t>
  </si>
  <si>
    <t>ACCUM AMORT ON DEPRECIATION DEFERRAL  (2)</t>
  </si>
  <si>
    <t>DFIT ON DEPRECIATION DEFERRAL  (2)</t>
  </si>
  <si>
    <t>NET RATEBASE</t>
  </si>
  <si>
    <t>AMORT OF DEF'D RETURN THROUGH APR 2020:  3YRS MAY '20 - APR '23  (2)</t>
  </si>
  <si>
    <t>AMORT OF DEF'D DEPREC THROUGH APR 2020:  3YRS MAY '20 - APR '23  (3)</t>
  </si>
  <si>
    <t>ENERGY MGMT</t>
  </si>
  <si>
    <t>SYSTEM (EMS)</t>
  </si>
  <si>
    <t>RATEBASE:</t>
  </si>
  <si>
    <t>UNPROTECTED DFIT</t>
  </si>
  <si>
    <t>EXPENSES:</t>
  </si>
  <si>
    <t>411.1 ANNUAL AMORTIZATION</t>
  </si>
  <si>
    <t>N/A</t>
  </si>
  <si>
    <t>REMOVE</t>
  </si>
  <si>
    <t>UTILITY PLANT</t>
  </si>
  <si>
    <t>PLANT ADDITIONS JAN-JUN 2019</t>
  </si>
  <si>
    <t>ACCUM DEPRECIATION</t>
  </si>
  <si>
    <t>TOTAL UTILITY PLANT</t>
  </si>
  <si>
    <t>DEFERRALS</t>
  </si>
  <si>
    <t>DEPRECIATION DEFERRAL</t>
  </si>
  <si>
    <t>ACCUM AMORT ON DEPRECIATION DEFERRAL</t>
  </si>
  <si>
    <t xml:space="preserve">DFIT ON DEPRECIATION DEFERRAL </t>
  </si>
  <si>
    <t>TOTAL DEPRECIATION DEFERRALS</t>
  </si>
  <si>
    <t>AMORTIZATION OF CARRYING CHARGES DEFERRAL</t>
  </si>
  <si>
    <t>GTZ PLANT</t>
  </si>
  <si>
    <t>&amp; DFRL</t>
  </si>
  <si>
    <t>AMORTIZATION OF AMORTIZATION DEFERRAL</t>
  </si>
  <si>
    <t>GET TO ZERO PROFORMA PLANT ADDITIONS AND DEFERRAL ADJUSTMENT</t>
  </si>
  <si>
    <t>MONTANA TAX EXPENSE</t>
  </si>
  <si>
    <t>PRODUCTION FACTOR ON RATE YEAR</t>
  </si>
  <si>
    <t>HR TOPS</t>
  </si>
  <si>
    <t>DERCIATION EXPENSE ON UTILITY PLANT</t>
  </si>
  <si>
    <t>TOTAL INCREASE (DECREASE) IN REVENUES</t>
  </si>
  <si>
    <t>SUBTOTAL RESTATING</t>
  </si>
  <si>
    <t>AMA TO EOP DEPRECIATION</t>
  </si>
  <si>
    <t>CREDIT CARD PAYMENT PROCESSING FEES</t>
  </si>
  <si>
    <t>ELECTRON UNRECOVERED COST (2014 PCORC) (FERC 407.0)</t>
  </si>
  <si>
    <t>WHITE RIVER PLANT COSTS (FERC 407.0)</t>
  </si>
  <si>
    <t>TOTAL INCREASE (DECREASE) REVENUES - RETAIL</t>
  </si>
  <si>
    <t>404 ELEC. DEPRECIATION EXPENSE</t>
  </si>
  <si>
    <t>404 ELEC. PORTION OF COMMON</t>
  </si>
  <si>
    <t>COLSTRIP</t>
  </si>
  <si>
    <t>TEMPERATURE NORMALIZATION</t>
  </si>
  <si>
    <t>LESS AVOIDED DPERECIATION FROM AMR RETIREMENTS IN RATE YR (1)</t>
  </si>
  <si>
    <t>PUGET SOUND ENERGY - ELECTRIC</t>
  </si>
  <si>
    <t>c = a + b</t>
  </si>
  <si>
    <t>e = c + d</t>
  </si>
  <si>
    <t>g = e + f</t>
  </si>
  <si>
    <t>COST OF CAPITAL - TEST YEAR</t>
  </si>
  <si>
    <t>aq</t>
  </si>
  <si>
    <t>ax</t>
  </si>
  <si>
    <t>ANNUALIZE TAX REFORM REVENUES EFFECTIVE 5-1-2019 FROM UE-180282 - SALES TO CUSTOMERS</t>
  </si>
  <si>
    <t>ANNUALIZE TAX REFORM REVENUES EFFECTIVE 5-1-2019 FROM UE-180282 - SALES FOR RESALE FIRM</t>
  </si>
  <si>
    <t>REMOVE 24 MONTH GAAP RESERVE</t>
  </si>
  <si>
    <t>POWEREX TRANSMISSION REVENUE FOR MICROSOFT-NON-RETAIL</t>
  </si>
  <si>
    <t>TEMPERATURE NORMALIZATION ADJUSTMENT</t>
  </si>
  <si>
    <t>NOTE 1</t>
  </si>
  <si>
    <t>REMOVE JPUD GAIN ON SALE SCH 133</t>
  </si>
  <si>
    <t>MIGRATE SCHEDULE 40 PURSUANT TO UE-170033</t>
  </si>
  <si>
    <t>TOTAL DEFERRED DEPRECIATION</t>
  </si>
  <si>
    <t>(1)  PRO FORMA PLANT ADDITIONS</t>
  </si>
  <si>
    <t xml:space="preserve">(2)  AMORT OF DEFERRAL OF RETURN ON INVESTMENT </t>
  </si>
  <si>
    <t>(3)  AMORT OF DEFERRAL OF DERPRECIATION</t>
  </si>
  <si>
    <t>VARIABLE ENERGY COSTS FROM POWER COST WITNESS</t>
  </si>
  <si>
    <t>COAL FUEL (501)</t>
  </si>
  <si>
    <t>NATURAL GAS FUEL (547)</t>
  </si>
  <si>
    <t>PURCHASED POWER (555)</t>
  </si>
  <si>
    <t>OTHER POWER EXPENSE (557)</t>
  </si>
  <si>
    <t>WHEELING  (565)</t>
  </si>
  <si>
    <t>SALES TO OTHER UTILITIES (447)</t>
  </si>
  <si>
    <t>PURCHASES / (SALES) OF NON -CORE GAS (456)</t>
  </si>
  <si>
    <t>INCREASE / (DECREASE) EXPENSE</t>
  </si>
  <si>
    <t>OTHER PRODUCTION COSTS</t>
  </si>
  <si>
    <t>PRODUCTION O&amp;M</t>
  </si>
  <si>
    <t>500KV TRANSMISSION EXPENSE</t>
  </si>
  <si>
    <t>TRANSMISSION REVENUE - COLSTRIP, 3RD AC &amp; NI</t>
  </si>
  <si>
    <t>EQUITY RETURN ON CENTRALIA COAL TRANSITION PPA</t>
  </si>
  <si>
    <t>STATE UTILITY TAX INCREASE ON HIGHER TRANSM REV</t>
  </si>
  <si>
    <t xml:space="preserve">NET INCREASE / (DECREASE) PRODUCTION EXPENSE </t>
  </si>
  <si>
    <t>INCREASE / (DECREASE) FIT @ 21%</t>
  </si>
  <si>
    <t>INCREASE / (DECREASE) NOI</t>
  </si>
  <si>
    <t>COLSTRIP DEPRECIATION</t>
  </si>
  <si>
    <t>ADJ 7.07ER</t>
  </si>
  <si>
    <t>AS RESTATED</t>
  </si>
  <si>
    <t>IN ADJ 6.19ER</t>
  </si>
  <si>
    <t>ADJUSTMENT TO COLSTRIP 1&amp;2 NET OPERATING INCOME AND RATE BASE</t>
  </si>
  <si>
    <t>REMOVE RESTATED DEPRECIATION EXPENSE</t>
  </si>
  <si>
    <t>FIT ON DEPRECIATION EXPENSE REMOVAL</t>
  </si>
  <si>
    <t>REMOVE COLSTRIP 1&amp;2 ARAM (TEST YEAR AMOUNT)</t>
  </si>
  <si>
    <t>ADJUSTMENT TO COLSTRIP 3&amp;4 NET OPERATING INCOME AND RATE BASE</t>
  </si>
  <si>
    <t>ADJUST DEPRECIATION EXPENSE FOR NEW DEPRECIATION RATES</t>
  </si>
  <si>
    <t>FIT ON DEPRECIATION EXPENSE</t>
  </si>
  <si>
    <t>IMPACT ON ACCUM DEP FOR CHANGE TO DEP EXPENSE</t>
  </si>
  <si>
    <t>IMPACT ON ACCUM DEF FED INC TAXES FOR CHANGE IN ACCUM DEP</t>
  </si>
  <si>
    <t>NOTE 1 - BECAUSE REVENUES ARE REFLECTED IN MULTIPLE REVENUE REQUIREMENT ADJUSTMENTS, IT IS NOT POSSIBLE TO PORTRAY TEST YEAR,</t>
  </si>
  <si>
    <t>RESTATED AND PROFORMA AMOUNTS AND SO ONLY THE AMOUNT OF THE ADJUSTMENTS IS DISPLAYED</t>
  </si>
  <si>
    <t xml:space="preserve">AMORTIZATION OF NET DEFERRED GAIN </t>
  </si>
  <si>
    <t>PSE BLDG 4TH FLOOR RENT</t>
  </si>
  <si>
    <t>PSE BLDG 4TH SUBLEASE</t>
  </si>
  <si>
    <t>PARKING</t>
  </si>
  <si>
    <t>BOTHELL O</t>
  </si>
  <si>
    <t>BOTHELL G/H</t>
  </si>
  <si>
    <t>VERNELL</t>
  </si>
  <si>
    <t>SMALL OFFICES:</t>
  </si>
  <si>
    <t>OAK HARBOR OFFICE</t>
  </si>
  <si>
    <t>BELLINGHAM BUSINESS OFFICE</t>
  </si>
  <si>
    <t>ELLENSBURG OFFICE 90 DAYS.</t>
  </si>
  <si>
    <t>SOUTH WHIDBEY BUSINESS OFFICE (2 FLOORS)</t>
  </si>
  <si>
    <t>LRO AND COMMISSIONS</t>
  </si>
  <si>
    <t>REVERSAL OF NET EXCESS DEFERRED TAXES</t>
  </si>
  <si>
    <t>IMPACT ON ACCUM DEF FED INC TAXES FOR EDIT REVERSAL</t>
  </si>
  <si>
    <t>UNPROTECTED EXCESS DEFERRED INCOME TAXES</t>
  </si>
  <si>
    <t xml:space="preserve">c </t>
  </si>
  <si>
    <t>aa</t>
  </si>
  <si>
    <t>GREEN POWER - SCH 135/136 TAGS CHARGED TO 557 (removed in Pwr Cost Adj)</t>
  </si>
  <si>
    <t>DECREASE TO SCHEDULE 95 POWER COST ADJUSTMENT CLAUSE</t>
  </si>
  <si>
    <t>DECREASE TO SCHEDULE 141 EXPEDITED RATE FILING RATE ADJUSTMENT</t>
  </si>
  <si>
    <t>INCREASE TO SCHEDULE 141Y TEMPORARY FEDERAL INCOME TAX RATE CREDIT</t>
  </si>
  <si>
    <t>SUBTOTAL CHANGES TO OTHER PRICE SCHEDULES</t>
  </si>
  <si>
    <t>NET REVENUE CHANGE BEFORE ATTRITION</t>
  </si>
  <si>
    <t>(1) AMOUNT RELATED TO WHOLESALE</t>
  </si>
  <si>
    <t>NET REVENUE</t>
  </si>
  <si>
    <t>CHANGE TO</t>
  </si>
  <si>
    <t>BASE RATES</t>
  </si>
  <si>
    <t>ENERGY  MANAGEMENT SYSTEM (EMS)</t>
  </si>
  <si>
    <t>EXH. SEF-5E page 5 of 5</t>
  </si>
  <si>
    <t>ab = ∑ b thru aa</t>
  </si>
  <si>
    <t>ac = a + ab</t>
  </si>
  <si>
    <t>ad</t>
  </si>
  <si>
    <t>ag</t>
  </si>
  <si>
    <t>be = ∑ ad thru bd</t>
  </si>
  <si>
    <t>AMORTIZATION OF DEFERRED ENVIRONMENTAL REMEDIATION COSTS AND RECOVERIES</t>
  </si>
  <si>
    <t>FOUR FACTOR ALLOCATOR</t>
  </si>
  <si>
    <t xml:space="preserve">ACCUM DEPRECIATION  </t>
  </si>
  <si>
    <t xml:space="preserve">DEFERRED INCOME TAX LIABILITY  </t>
  </si>
  <si>
    <t xml:space="preserve">DEPRECIATION EXPENSE  </t>
  </si>
  <si>
    <t>(NOTE 1) THE ADJUSTMENTS FOR AMORTIZATION OF POWER COST RELATED REGULATORY ASSETS AND LIABILITIES ARE PERFORMED IN THE POWER COST</t>
  </si>
  <si>
    <t>ADJUSTMENT (ADJUSTMENT NO. 9.01) AND THEREFORE ARE NOT ADJUSTED HERE.</t>
  </si>
  <si>
    <t>(NOTE 2) THE COMPONENTS OF THE ADJUSTMENT ARE AS FOLLOWS:</t>
  </si>
  <si>
    <t>BALANCE OF REGULATORY ASSET OR LIABILITY</t>
  </si>
  <si>
    <t>ACCUMULATED DEFERRED INCOME TAXES</t>
  </si>
  <si>
    <t>TOTAL ADJUSTMENT</t>
  </si>
  <si>
    <t>NET REVENUE CHANGE AFTER ATTRITION</t>
  </si>
  <si>
    <t>REDUCTION TO SUPPORTED AMOUNT</t>
  </si>
  <si>
    <t>ATTRITION ADJUSTMENT</t>
  </si>
  <si>
    <t>AMOUNT</t>
  </si>
  <si>
    <t>DEFICIENCY ASSOCIATED WITH POWER COSTS FROM EXH. SEF-3E PAGE 5</t>
  </si>
  <si>
    <t>Increase in Power Costs</t>
  </si>
  <si>
    <t>Current Load in MWh's</t>
  </si>
  <si>
    <t>Dollar per MWh</t>
  </si>
  <si>
    <t>Load in MWh's</t>
  </si>
  <si>
    <t>Total Grossed Up Variable Costs per Exhibit A-1</t>
  </si>
  <si>
    <t>Revenue Sensitive Items</t>
  </si>
  <si>
    <t>Total Variable Costs per Exhibit A-1</t>
  </si>
  <si>
    <t>Increase</t>
  </si>
  <si>
    <t>UE-190166</t>
  </si>
  <si>
    <t>2019 GRC</t>
  </si>
  <si>
    <t>Microsoft Update</t>
  </si>
  <si>
    <t>(1) - Amortization is picked up in Regulatory Assets and Liabilities Adjustment and White River Adjustment.</t>
  </si>
  <si>
    <t>BLR Grossed Up for RSI</t>
  </si>
  <si>
    <t>BLR Net of RSI</t>
  </si>
  <si>
    <t>Baseline Rate Summarized</t>
  </si>
  <si>
    <t>Variable</t>
  </si>
  <si>
    <t xml:space="preserve">Fixed </t>
  </si>
  <si>
    <t xml:space="preserve"> &lt;-- includes Firm Wholesale</t>
  </si>
  <si>
    <t>Test Year DELIVERED Load (MWH's)</t>
  </si>
  <si>
    <t>Grossed up for RSI</t>
  </si>
  <si>
    <t>Subtotal &amp; Baseline Rate</t>
  </si>
  <si>
    <t>N/A (formerly hedging line of credit)</t>
  </si>
  <si>
    <t>F</t>
  </si>
  <si>
    <t>Amortization  - Regulatory Assets &amp; Liab - Non PC Only (1)</t>
  </si>
  <si>
    <t>Depreciation-Transmission</t>
  </si>
  <si>
    <t>Depreciation-Production (FERC 403)</t>
  </si>
  <si>
    <t>Transmission Exp - 500KV</t>
  </si>
  <si>
    <t>V</t>
  </si>
  <si>
    <t>456-Purch/Sales Non-Core Gas</t>
  </si>
  <si>
    <t>447-Sales to Others</t>
  </si>
  <si>
    <t>Production O&amp;M</t>
  </si>
  <si>
    <t>Transmission Revenue 456.1</t>
  </si>
  <si>
    <t>565-Wheeling Incl PC Reg Amort</t>
  </si>
  <si>
    <t>547-Fuel Incl PC Reg Amort</t>
  </si>
  <si>
    <t>Brokerage Fees 55700003</t>
  </si>
  <si>
    <t>15e</t>
  </si>
  <si>
    <t>Payroll Taxes on Production Wages</t>
  </si>
  <si>
    <t>15d</t>
  </si>
  <si>
    <t>Montana Electric Energy Tax</t>
  </si>
  <si>
    <t>15c</t>
  </si>
  <si>
    <t>Property Insurance</t>
  </si>
  <si>
    <t>15b</t>
  </si>
  <si>
    <t>Payroll Overheads - Benefits (Inc. Worker's Comp)</t>
  </si>
  <si>
    <t>15a</t>
  </si>
  <si>
    <t>557-Other Power Exp</t>
  </si>
  <si>
    <t>555-Purchased power Incl PC Reg Amort</t>
  </si>
  <si>
    <t>501-Steam Fuel Incl PC Reg Amort</t>
  </si>
  <si>
    <t>Fixed Asset Recovery-Prod Factored (on Row 5)</t>
  </si>
  <si>
    <t>Fixed Asset Recovery Other (on Row 4)</t>
  </si>
  <si>
    <t>Equity Adder Centralia Coal Transition PPA</t>
  </si>
  <si>
    <t>10a</t>
  </si>
  <si>
    <t>Regulatory Asset Recovery (on Row 3)</t>
  </si>
  <si>
    <t>(V)</t>
  </si>
  <si>
    <t>(IV)</t>
  </si>
  <si>
    <t>(III)</t>
  </si>
  <si>
    <t>(II)</t>
  </si>
  <si>
    <t>(I)</t>
  </si>
  <si>
    <t>9A</t>
  </si>
  <si>
    <t>In PCA</t>
  </si>
  <si>
    <t>In Decoupling</t>
  </si>
  <si>
    <t>F/V</t>
  </si>
  <si>
    <t>$/MWh</t>
  </si>
  <si>
    <t>Prod Cost</t>
  </si>
  <si>
    <t>Test Yr</t>
  </si>
  <si>
    <t xml:space="preserve">Variable </t>
  </si>
  <si>
    <t>Net of tax rate of return</t>
  </si>
  <si>
    <t>NO MS Variable PF=&gt;</t>
  </si>
  <si>
    <t>Settlement Variable PF=&gt;</t>
  </si>
  <si>
    <t>Production Rate Base (Fixed)</t>
  </si>
  <si>
    <t>Transmission Rate Base (Fixed)</t>
  </si>
  <si>
    <t>Regulatory Assets (1) (Fixed)</t>
  </si>
  <si>
    <t xml:space="preserve">Test Year </t>
  </si>
  <si>
    <t>Row</t>
  </si>
  <si>
    <t>&lt;=Contingent Calculation - NO MS Settlement=&gt;</t>
  </si>
  <si>
    <t>&lt;=Settlement=&gt;</t>
  </si>
  <si>
    <t>Exhibit H to the 2017 GRC - Multi-Party Settelement</t>
  </si>
  <si>
    <t>Exhibit A-1 Power Cost Baseline Rates With and Without Microsoft</t>
  </si>
  <si>
    <t xml:space="preserve">TOTAL </t>
  </si>
  <si>
    <t>RECLASSIFY TRANSPORTATION REVENUES FROM OTHER OPERATING</t>
  </si>
  <si>
    <t>TOTAL PROFORMA COSTS</t>
  </si>
  <si>
    <t>INCREASE(DECREASE) PRODUCTION FACTORED EXPENSE</t>
  </si>
  <si>
    <t>NET  PLANT RATEBASE</t>
  </si>
  <si>
    <t xml:space="preserve">PLANT ADDITIONS </t>
  </si>
  <si>
    <t>BROKERAGE FEES (557 VARIABLE)</t>
  </si>
  <si>
    <t>Determination of Net Power Costs</t>
  </si>
  <si>
    <t xml:space="preserve">Test Year:  12MOE Dec 2018  </t>
  </si>
  <si>
    <t>Factor</t>
  </si>
  <si>
    <t>Complement</t>
  </si>
  <si>
    <t xml:space="preserve">Rate Year:  12MOE April 2021  </t>
  </si>
  <si>
    <t>Fixed PF</t>
  </si>
  <si>
    <t>Variable PF</t>
  </si>
  <si>
    <t>Restated TY</t>
  </si>
  <si>
    <t>RY:  PKW and RJR</t>
  </si>
  <si>
    <t>Remove</t>
  </si>
  <si>
    <t>Net RY Before</t>
  </si>
  <si>
    <t>Line</t>
  </si>
  <si>
    <t xml:space="preserve">FERC </t>
  </si>
  <si>
    <t>12MOE Dec 2018</t>
  </si>
  <si>
    <t>12MOE Apr 2021</t>
  </si>
  <si>
    <t>Benefits</t>
  </si>
  <si>
    <t>Payroll Tax</t>
  </si>
  <si>
    <t>Prod Factor</t>
  </si>
  <si>
    <t>VARIABLE ENERGY COSTS + 557</t>
  </si>
  <si>
    <t>BROKERAGE FEES</t>
  </si>
  <si>
    <t>CHECK =&gt;</t>
  </si>
  <si>
    <t>various</t>
  </si>
  <si>
    <t xml:space="preserve">TRANS. EXP. INCL. 500KV O&amp;M </t>
  </si>
  <si>
    <t>456-17</t>
  </si>
  <si>
    <t>456-1 VARIABLE TRANSM. INCOME - COLSTRIP, 3RD AC &amp; NI</t>
  </si>
  <si>
    <t>n/a</t>
  </si>
  <si>
    <t>EQUITY RETURN ON CENTRALIA TRANSITION COAL PPA</t>
  </si>
  <si>
    <t>bf = ac + be</t>
  </si>
  <si>
    <t xml:space="preserve"> REVENUE CHANGE BEFORE ATTRITION AND RIDERS (1)</t>
  </si>
  <si>
    <t>CHANGES TO OTHER PRICE SCHEDULES</t>
  </si>
  <si>
    <t>ATTRITION DEFICIENCY FROM RON AMEN EXH. RJA-3 (DOES NOT INCLUDE POWER COSTS)</t>
  </si>
  <si>
    <t>NET REVENUE CHANGE AFTER ATTRITION FROM PAGE 4 OF 6</t>
  </si>
  <si>
    <t>Electric Rollforward</t>
  </si>
  <si>
    <t>2019 General Rate Case - December 31, 2018</t>
  </si>
  <si>
    <t>linked</t>
  </si>
  <si>
    <t>Ref</t>
  </si>
  <si>
    <t>Rate Base</t>
  </si>
  <si>
    <t>Rate of Return</t>
  </si>
  <si>
    <t>Return on Ratebase</t>
  </si>
  <si>
    <t>Difference</t>
  </si>
  <si>
    <r>
      <rPr>
        <sz val="10"/>
        <rFont val="Arial"/>
        <family val="2"/>
      </rPr>
      <t xml:space="preserve">Conv Fctr    </t>
    </r>
    <r>
      <rPr>
        <sz val="8"/>
        <rFont val="Arial"/>
        <family val="2"/>
      </rPr>
      <t xml:space="preserve">   (latest s/b = curr above)</t>
    </r>
  </si>
  <si>
    <t>Rqrmt/Defcncy or (Surplus)</t>
  </si>
  <si>
    <t>Rounding</t>
  </si>
  <si>
    <t>Sum of Above</t>
  </si>
  <si>
    <t>From Model</t>
  </si>
  <si>
    <t xml:space="preserve">     Difference</t>
  </si>
  <si>
    <t>Orig filing</t>
  </si>
  <si>
    <t>Total Impact Reg A/L Amort</t>
  </si>
  <si>
    <t>Other Operating Expense</t>
  </si>
  <si>
    <t>Amort Prop G/L</t>
  </si>
  <si>
    <t>Reg Asset/Liab Adjustment</t>
  </si>
  <si>
    <t>Total Impact</t>
  </si>
  <si>
    <t>Loss of Attrition Limitation</t>
  </si>
  <si>
    <t>Total Before Attrition Limitation</t>
  </si>
  <si>
    <t>Unprotected EDIT Reversals</t>
  </si>
  <si>
    <t>Def G/L Amortization</t>
  </si>
  <si>
    <t>Storm Amortization</t>
  </si>
  <si>
    <t>Growth Factor</t>
  </si>
  <si>
    <t>Escalation</t>
  </si>
  <si>
    <t>ROR &amp; TBPFI</t>
  </si>
  <si>
    <t>In Attrition</t>
  </si>
  <si>
    <t>Revenue</t>
  </si>
  <si>
    <t>Conversion</t>
  </si>
  <si>
    <t>Difference in</t>
  </si>
  <si>
    <t>&lt;==check</t>
  </si>
  <si>
    <t>Reg Asset/Liab Adjustment FOR ABOVE</t>
  </si>
  <si>
    <t>Shuffleton Gain SUPPLEMENTAL</t>
  </si>
  <si>
    <t>GTZ interest Rate correction</t>
  </si>
  <si>
    <t>Power Cost Correction per Staff DR 159</t>
  </si>
  <si>
    <t>From Attrition</t>
  </si>
  <si>
    <t>if  applicable</t>
  </si>
  <si>
    <t xml:space="preserve">Impacts </t>
  </si>
  <si>
    <t>Attrition?</t>
  </si>
  <si>
    <t>Yes</t>
  </si>
  <si>
    <t>No</t>
  </si>
  <si>
    <t>Amount per AWEC 020</t>
  </si>
  <si>
    <t>Reversal of above because attrition eliminates these traditional adjustments:</t>
  </si>
  <si>
    <t xml:space="preserve">Error corrections to proforma adjustments that impact traditional </t>
  </si>
  <si>
    <t>deficiency but don't impact attrition deficiency:</t>
  </si>
  <si>
    <t>Certain proforma adjustments that should have been included in attrition:</t>
  </si>
  <si>
    <t>Environmental Amortization</t>
  </si>
  <si>
    <t>Amount Requested in Original Filing:</t>
  </si>
  <si>
    <t>Requirement</t>
  </si>
  <si>
    <t>(Deficiency) or</t>
  </si>
  <si>
    <t>Surplus</t>
  </si>
  <si>
    <t>Electric Impacts</t>
  </si>
  <si>
    <t>Errors that impact both traditional and attrition:</t>
  </si>
  <si>
    <t>Amortization of AMI Deferrals</t>
  </si>
  <si>
    <t>Amortization of GTZ Deferrals</t>
  </si>
  <si>
    <t>Operating</t>
  </si>
  <si>
    <t>Expense</t>
  </si>
  <si>
    <t>AMI Deferral Adjustment FOR ABOVE</t>
  </si>
  <si>
    <t>Total Impact AMI Deferral Amort</t>
  </si>
  <si>
    <t>GTZ Deferral Adjustment FOR ABOVE</t>
  </si>
  <si>
    <t>REBUTTAL==============================================================================&gt;</t>
  </si>
  <si>
    <t>Power Cost Update to 12.05.19 gas prices</t>
  </si>
  <si>
    <t>Put Updated Power Costs at Gas Prices 12.3.19 into attrition</t>
  </si>
  <si>
    <t>Working Capital changed back to AMA</t>
  </si>
  <si>
    <t>Depreciation Expense</t>
  </si>
  <si>
    <t xml:space="preserve">Increase (Decrease) FIT @ </t>
  </si>
  <si>
    <t>Total Rate Base</t>
  </si>
  <si>
    <t>SHUFFLETON</t>
  </si>
  <si>
    <t>REMOVE RB-</t>
  </si>
  <si>
    <t>Remove Shuffleton Rate Base</t>
  </si>
  <si>
    <t>Montana Tax for power cost update</t>
  </si>
  <si>
    <t>Montana Tax Update for pwer costs</t>
  </si>
  <si>
    <t>Change Other Operating Expense Growth factor to 0%</t>
  </si>
  <si>
    <t>Correct missing DFIT in EMS</t>
  </si>
  <si>
    <t>REMOVE GREEN</t>
  </si>
  <si>
    <t>DIRECT RB</t>
  </si>
  <si>
    <t>REMOVE GREEN DIRECT RB</t>
  </si>
  <si>
    <t>12.26.19</t>
  </si>
  <si>
    <t>EXH. SEF-19E page 2 of 7</t>
  </si>
  <si>
    <t>EXH. SEF-19E page 3 of 7</t>
  </si>
  <si>
    <t>EXH. SEF-19E page 4 of 7</t>
  </si>
  <si>
    <t>EXH. SEF-19E page 5 of 7</t>
  </si>
  <si>
    <t>EXH. SEF-19E page 6 of 7</t>
  </si>
  <si>
    <t>EXH. SEF-19E page 7 of 7</t>
  </si>
  <si>
    <t>EXH. SEF-19E page 1 of 7</t>
  </si>
  <si>
    <t>EXH. SEF-18E page 1 of 6</t>
  </si>
  <si>
    <t>EXH. SEF-18E page 3 of 6</t>
  </si>
  <si>
    <t>EXH. SEF-18E page 4 of 6</t>
  </si>
  <si>
    <t>EXH. SEF-18E page 5 of 6</t>
  </si>
  <si>
    <t>EXH. SEF-18E page 6 of 6</t>
  </si>
  <si>
    <t>Exh. SEF-21 Page 2 of 11</t>
  </si>
  <si>
    <t>Exh. SEF-21E page 1 of 11</t>
  </si>
  <si>
    <t>Exh. SEF-21E page 3 of 11</t>
  </si>
  <si>
    <t>Exh. SEF-21E page 4 of 11</t>
  </si>
  <si>
    <t>Exh. SEF-21E page 5 of 11</t>
  </si>
  <si>
    <t>Exh. SEF-21E page 6 of 11</t>
  </si>
  <si>
    <t>Exh. SEF-21E page 7 of 11</t>
  </si>
  <si>
    <t>Exh. SEF-21E page 8 of 11</t>
  </si>
  <si>
    <t>Exh. SEF-21E page 9 of 11</t>
  </si>
  <si>
    <t>Exh. SEF-21E page 10 of 11</t>
  </si>
  <si>
    <t>Exh. SEF-21E page 11 of 11</t>
  </si>
  <si>
    <t>Shuffleton Plant</t>
  </si>
  <si>
    <t>Accum Depreciation</t>
  </si>
  <si>
    <t>SHUFFLETON SALE ADJUSTMENT - RATE BASE PER STAFF</t>
  </si>
  <si>
    <t>Update COC Equity % from 9.8% to 9.7%</t>
  </si>
  <si>
    <t>Exh. SEF-20E page 1 of 30</t>
  </si>
  <si>
    <t>Exh. SEF-20E page 2 of 30</t>
  </si>
  <si>
    <t>Exh. SEF-20E page 3 of 30</t>
  </si>
  <si>
    <t>Exh. SEF-20E page 4 of 30</t>
  </si>
  <si>
    <t>Exh. SEF-20E page 5 of 30</t>
  </si>
  <si>
    <t>Exh. SEF-20E page 6 of 30</t>
  </si>
  <si>
    <t>Exh. SEF-20E page 7 of 30</t>
  </si>
  <si>
    <t>Exh. SEF-20E page 8 of 30</t>
  </si>
  <si>
    <t>Exh. SEF-20E page 9 of 30</t>
  </si>
  <si>
    <t>Exh. SEF-20E page 10 of 30</t>
  </si>
  <si>
    <t>Exh. SEF-20E page 11 of 30</t>
  </si>
  <si>
    <t>Exh. SEF-20E page 12 of 30</t>
  </si>
  <si>
    <t>Exh. SEF-20E page 13 of 30</t>
  </si>
  <si>
    <t>Exh. SEF-20E page 14 of 30</t>
  </si>
  <si>
    <t>Exh. SEF-20E page 15 of 30</t>
  </si>
  <si>
    <t>Exh. SEF-20E page 16 of 30</t>
  </si>
  <si>
    <t>Exh. SEF-20E page 17 of 30</t>
  </si>
  <si>
    <t>Exh. SEF-20E page 18 of 30</t>
  </si>
  <si>
    <t>Exh. SEF-20E page 19 of 30</t>
  </si>
  <si>
    <t>Exh. SEF-20E page 20 of 30</t>
  </si>
  <si>
    <t>Exh. SEF-20E page 21 of 30</t>
  </si>
  <si>
    <t>Exh. SEF-20E page 22 of 30</t>
  </si>
  <si>
    <t>Exh. SEF-20E page 23 of 30</t>
  </si>
  <si>
    <t>Exh. SEF-20E page 24 of 30</t>
  </si>
  <si>
    <t>Exh. SEF-20E page 25 of 30</t>
  </si>
  <si>
    <t>Exh. SEF-20E page 26 of 30</t>
  </si>
  <si>
    <t>Exh. SEF-20E page 27 of 30</t>
  </si>
  <si>
    <t>Exh. SEF-20E page 28 of 30</t>
  </si>
  <si>
    <t>Exh. SEF-20E page 29 of 30</t>
  </si>
  <si>
    <t>Exh. SEF-20E page 30 of 30</t>
  </si>
  <si>
    <t>EXH. SEF-18E page 2 of 6</t>
  </si>
  <si>
    <t>Remove colstrip O&amp;M</t>
  </si>
  <si>
    <t>Change Oth Op Exp growth to 0%</t>
  </si>
  <si>
    <t>Rate Year Revenue &amp; Costs</t>
  </si>
  <si>
    <t>j = ∑ g thru i</t>
  </si>
  <si>
    <t>ELECTRIC ATTRITION</t>
  </si>
  <si>
    <t>LINE NO.</t>
  </si>
  <si>
    <t>Line Description</t>
  </si>
  <si>
    <t>Operating Revenues:</t>
  </si>
  <si>
    <t>Sales to Customers</t>
  </si>
  <si>
    <t>Sales from Resale-Firm</t>
  </si>
  <si>
    <t>Sales to Other Utilities</t>
  </si>
  <si>
    <t>Other Operating Revenues</t>
  </si>
  <si>
    <t>Total Operating Revenues</t>
  </si>
  <si>
    <t>Operating Revenue Deductions:</t>
  </si>
  <si>
    <t>Power Costs:</t>
  </si>
  <si>
    <t>Fuel</t>
  </si>
  <si>
    <t>Purchased and Interchanged</t>
  </si>
  <si>
    <t>Wheeling</t>
  </si>
  <si>
    <t>Residential Exchange</t>
  </si>
  <si>
    <t>Total Production Expenses</t>
  </si>
  <si>
    <t>Other Power Supply Expenses</t>
  </si>
  <si>
    <t>Transmission Expense</t>
  </si>
  <si>
    <t>Distribution Expense</t>
  </si>
  <si>
    <t>Customer Account Expenses</t>
  </si>
  <si>
    <t>Customer Service Expenses</t>
  </si>
  <si>
    <t>Conservation Amortization</t>
  </si>
  <si>
    <t>Admin &amp; General Expense</t>
  </si>
  <si>
    <t>Depreciation</t>
  </si>
  <si>
    <t>Amortization</t>
  </si>
  <si>
    <t>Amortiz Of Property Gain/Loss</t>
  </si>
  <si>
    <t>Other Operating Expenses</t>
  </si>
  <si>
    <t>Asc 815</t>
  </si>
  <si>
    <t>Taxes Other Than F.I.T.</t>
  </si>
  <si>
    <t>Federal Income Taxes</t>
  </si>
  <si>
    <t>Deferred Income Taxes</t>
  </si>
  <si>
    <t>Total Operating Rev. Deduct.</t>
  </si>
  <si>
    <t>Net Operating Income</t>
  </si>
  <si>
    <t xml:space="preserve">Rate Base </t>
  </si>
  <si>
    <t>Rate Base:</t>
  </si>
  <si>
    <t xml:space="preserve"> Gross Utility Plant in Service</t>
  </si>
  <si>
    <t xml:space="preserve"> Accumulated Depreciation </t>
  </si>
  <si>
    <t xml:space="preserve">  Non-plant DFIT</t>
  </si>
  <si>
    <t xml:space="preserve">  Deferred Debits</t>
  </si>
  <si>
    <t xml:space="preserve">  Deferred Taxes</t>
  </si>
  <si>
    <t xml:space="preserve">  Allowance for Working Capital</t>
  </si>
  <si>
    <t xml:space="preserve">  Other</t>
  </si>
  <si>
    <t>Gross Plant</t>
  </si>
  <si>
    <t>Total Production</t>
  </si>
  <si>
    <t>Transmission</t>
  </si>
  <si>
    <t>Distribution</t>
  </si>
  <si>
    <t>Intangible Plant</t>
  </si>
  <si>
    <t>General Plant</t>
  </si>
  <si>
    <t xml:space="preserve">Accumulated Depreciation </t>
  </si>
  <si>
    <t>Deferred Federal Income Taxes (w/o Bonus)</t>
  </si>
  <si>
    <t>Bonus DFIT</t>
  </si>
  <si>
    <t>Total DFIT</t>
  </si>
  <si>
    <t>Net Plant after Deferred Income Taxes</t>
  </si>
  <si>
    <t>Non-plant DFIT</t>
  </si>
  <si>
    <t>Deferred Debits</t>
  </si>
  <si>
    <t>Allowance for Working Capital</t>
  </si>
  <si>
    <t>Other</t>
  </si>
  <si>
    <t>Proposed Rate of Return</t>
  </si>
  <si>
    <t>Return on Plant in Service at Proposed Rate</t>
  </si>
  <si>
    <t>Operating Income Deficiency</t>
  </si>
  <si>
    <t>Revenue Conversion Factor</t>
  </si>
  <si>
    <t>Revenue Requirement</t>
  </si>
  <si>
    <t>Revenue Growth Factor</t>
  </si>
  <si>
    <t>Attrition Adjusted Revenue Requirement</t>
  </si>
  <si>
    <t>Update Production O&amp;M to accept Staff Fredonia Major Maint adjustment</t>
  </si>
  <si>
    <t xml:space="preserve">Remove Green Direct from Rate Base as a Restating in sync wth Staff </t>
  </si>
  <si>
    <t>Correct  T&amp;D Growth Factors</t>
  </si>
  <si>
    <t>Correct Trans and Dist plant growth from Log to Linear regression</t>
  </si>
  <si>
    <t xml:space="preserve">  Centralia Equity Kicker from 1.49/MWh to 1.23/MWh FIT reform (Pwr Costs)</t>
  </si>
  <si>
    <t>Supplemental</t>
  </si>
  <si>
    <t>Diff</t>
  </si>
  <si>
    <t>BEFORE CHANGES</t>
  </si>
  <si>
    <t>NOI - After</t>
  </si>
  <si>
    <t>RATEBASE - After</t>
  </si>
  <si>
    <t>AFTER CHANGES</t>
  </si>
  <si>
    <t>DIFFERENCE</t>
  </si>
  <si>
    <t>RATEBASE</t>
  </si>
  <si>
    <t>Remove Colstrip 1&amp;2 O&amp;M in Attrition Study</t>
  </si>
  <si>
    <t>Centralia Equity Kicker from $1.49/MWh to $1.23/MWh FIT reform</t>
  </si>
  <si>
    <t>CHANGES TO OTHER PRICE SCHEDULES FROM EXH. JAP-14:</t>
  </si>
  <si>
    <t>NET REVENUE CHANGE REQUESTED EXH. JAP-14</t>
  </si>
  <si>
    <t>Temperature Norm using Staff's method</t>
  </si>
  <si>
    <t>POST REBUTTAL==============================================================================&gt;</t>
  </si>
  <si>
    <t>Update Production Factor related to Temp Normalization and impact on BLR and power costs</t>
  </si>
  <si>
    <t>Power Costs Update Production Factor related to Temp Normalization</t>
  </si>
  <si>
    <t>ROE from 9.7% to 9.5%</t>
  </si>
  <si>
    <t>2.20.20</t>
  </si>
  <si>
    <t>Changed AMA back to EOP for WC/RB as filed in Orig. Filing</t>
  </si>
  <si>
    <t>2.21.20</t>
  </si>
  <si>
    <t>Update cost of short term debt to 2.19.20 (Tax Benefit of Interest Impacted!)</t>
  </si>
  <si>
    <t>New ROR</t>
  </si>
  <si>
    <t>New Debt</t>
  </si>
  <si>
    <t xml:space="preserve">Update cost of short term debt to 2.19.20 </t>
  </si>
  <si>
    <t>Restatement for Temp Norm impact on Attrition Base</t>
  </si>
  <si>
    <t>Change to price Schedule (baseline rate)</t>
  </si>
  <si>
    <t>GTZ update through Dec 2019</t>
  </si>
  <si>
    <t>2.26.20</t>
  </si>
  <si>
    <t>AMI update through Dec 2019</t>
  </si>
  <si>
    <t>Public Improvement update through Dec 2019</t>
  </si>
  <si>
    <t>HR Tops update through Dec 2019</t>
  </si>
  <si>
    <t>High Molecular Wt Cable update through Dec 2019</t>
  </si>
  <si>
    <t>EMS update through Dec 2019</t>
  </si>
  <si>
    <t>Impact on Row 30 of Revenue Growth Factor at 1.0142</t>
  </si>
  <si>
    <t>&lt;==BR#1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</si>
</sst>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0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[Red]_(&quot;$&quot;* \(#,##0\);_(&quot;$&quot;* &quot;-&quot;_);_(@_)"/>
    <numFmt numFmtId="165" formatCode="0.000000"/>
    <numFmt numFmtId="166" formatCode="&quot;$&quot;#,##0"/>
    <numFmt numFmtId="167" formatCode="#,##0;\(#,##0\)"/>
    <numFmt numFmtId="168" formatCode="_(* #,##0_);_(* \(#,##0\);_(* &quot;-&quot;??_);_(@_)"/>
    <numFmt numFmtId="169" formatCode="_(&quot;$&quot;* #,##0_);_(&quot;$&quot;* \(#,##0\);_(&quot;$&quot;* &quot;-&quot;??_);_(@_)"/>
    <numFmt numFmtId="170" formatCode="yyyy"/>
    <numFmt numFmtId="171" formatCode="0.0000%"/>
    <numFmt numFmtId="172" formatCode="0.0%"/>
    <numFmt numFmtId="173" formatCode="0.0000000"/>
    <numFmt numFmtId="174" formatCode="#,##0.0000"/>
    <numFmt numFmtId="175" formatCode="0.00\ &quot;EP&quot;"/>
    <numFmt numFmtId="176" formatCode="0.00\ &quot;ER&quot;"/>
    <numFmt numFmtId="177" formatCode="_(&quot;$&quot;* #,##0.000000_);_(&quot;$&quot;* \(#,##0.000000\);_(&quot;$&quot;* &quot;-&quot;??????_);_(@_)"/>
    <numFmt numFmtId="178" formatCode="_(* #,##0.000000_);_(* \(#,##0.000000\);_(* &quot;-&quot;??????_);_(@_)"/>
    <numFmt numFmtId="179" formatCode="0.0000"/>
    <numFmt numFmtId="180" formatCode="&quot;ADJ&quot;\ 0.00\ &quot;ER&quot;"/>
    <numFmt numFmtId="181" formatCode="&quot;ADJ&quot;\ 0.00\ &quot;EP&quot;"/>
    <numFmt numFmtId="182" formatCode="_(&quot;$&quot;* #,##0.000_);_(&quot;$&quot;* \(#,##0.000\);_(&quot;$&quot;* &quot;-&quot;??_);_(@_)"/>
    <numFmt numFmtId="183" formatCode="_(* #,##0.0000000_);_(* \(#,##0.0000000\);_(* &quot;-&quot;??_);_(@_)"/>
    <numFmt numFmtId="184" formatCode="0_);\(0\)"/>
    <numFmt numFmtId="185" formatCode="0.000%"/>
    <numFmt numFmtId="186" formatCode="_(* #,##0.000000000_);_(* \(#,##0.000000000\);_(* &quot;-&quot;??_);_(@_)"/>
    <numFmt numFmtId="187" formatCode="0.000000%"/>
    <numFmt numFmtId="188" formatCode="&quot;$&quot;#,##0.00"/>
    <numFmt numFmtId="189" formatCode="_(* #,##0.0000_);_(* \(#,##0.0000\);_(* &quot;-&quot;??_);_(@_)"/>
  </numFmts>
  <fonts count="38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sz val="10"/>
      <name val="Arial"/>
      <family val="2"/>
    </font>
    <font>
      <b/>
      <sz val="10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8"/>
      <color theme="1"/>
      <name val="Times New Roman"/>
      <family val="1"/>
    </font>
    <font>
      <sz val="11"/>
      <name val="Calibri"/>
      <family val="2"/>
      <scheme val="minor"/>
    </font>
    <font>
      <sz val="9"/>
      <color theme="1"/>
      <name val="Arial"/>
      <family val="2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sz val="8"/>
      <name val="Arial"/>
      <family val="2"/>
    </font>
    <font>
      <b/>
      <sz val="11"/>
      <color rgb="FF0000FF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009900"/>
      <name val="Calibri"/>
      <family val="2"/>
      <scheme val="minor"/>
    </font>
    <font>
      <b/>
      <sz val="11"/>
      <color rgb="FF6600FF"/>
      <name val="Calibri"/>
      <family val="2"/>
      <scheme val="minor"/>
    </font>
    <font>
      <b/>
      <sz val="9.35"/>
      <color theme="1"/>
      <name val="Calibri"/>
      <family val="2"/>
    </font>
    <font>
      <u/>
      <sz val="11"/>
      <color theme="1"/>
      <name val="Calibri"/>
      <family val="2"/>
      <scheme val="minor"/>
    </font>
    <font>
      <sz val="14"/>
      <color theme="1"/>
      <name val="Times New Roman"/>
      <family val="1"/>
    </font>
    <font>
      <b/>
      <i/>
      <sz val="10"/>
      <color theme="1"/>
      <name val="Times New Roman"/>
      <family val="1"/>
    </font>
    <font>
      <u/>
      <sz val="10"/>
      <color theme="1"/>
      <name val="Times New Roman"/>
      <family val="1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Times New Roman"/>
      <family val="1"/>
    </font>
    <font>
      <b/>
      <u/>
      <sz val="10"/>
      <color theme="1"/>
      <name val="Times New Roman"/>
      <family val="1"/>
    </font>
    <font>
      <b/>
      <sz val="14"/>
      <color theme="1"/>
      <name val="Arial"/>
      <family val="2"/>
    </font>
    <font>
      <sz val="8"/>
      <color theme="1"/>
      <name val="Helv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b/>
      <sz val="14"/>
      <color theme="1"/>
      <name val="Times New Roman"/>
      <family val="1"/>
    </font>
    <font>
      <sz val="14"/>
      <color theme="1"/>
      <name val="Helv"/>
    </font>
    <font>
      <sz val="14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2"/>
      <color theme="1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5" tint="0.79998168889431442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67">
    <xf numFmtId="0" fontId="0" fillId="0" borderId="0" xfId="0"/>
    <xf numFmtId="0" fontId="1" fillId="0" borderId="0" xfId="0" applyNumberFormat="1" applyFont="1" applyFill="1" applyAlignment="1"/>
    <xf numFmtId="0" fontId="1" fillId="0" borderId="0" xfId="0" applyFont="1" applyFill="1" applyAlignment="1">
      <alignment horizontal="centerContinuous"/>
    </xf>
    <xf numFmtId="165" fontId="1" fillId="0" borderId="0" xfId="0" applyNumberFormat="1" applyFont="1" applyFill="1" applyAlignment="1"/>
    <xf numFmtId="10" fontId="1" fillId="0" borderId="0" xfId="0" applyNumberFormat="1" applyFont="1" applyFill="1"/>
    <xf numFmtId="168" fontId="1" fillId="0" borderId="0" xfId="0" applyNumberFormat="1" applyFont="1" applyFill="1"/>
    <xf numFmtId="0" fontId="1" fillId="0" borderId="0" xfId="0" applyFont="1" applyFill="1"/>
    <xf numFmtId="0" fontId="1" fillId="0" borderId="0" xfId="0" applyFont="1" applyFill="1" applyAlignment="1">
      <alignment horizontal="center"/>
    </xf>
    <xf numFmtId="42" fontId="1" fillId="0" borderId="0" xfId="0" applyNumberFormat="1" applyFont="1" applyFill="1"/>
    <xf numFmtId="41" fontId="1" fillId="0" borderId="0" xfId="0" applyNumberFormat="1" applyFont="1" applyFill="1"/>
    <xf numFmtId="0" fontId="1" fillId="0" borderId="19" xfId="0" applyFont="1" applyFill="1" applyBorder="1"/>
    <xf numFmtId="0" fontId="1" fillId="0" borderId="0" xfId="0" applyFont="1" applyFill="1" applyBorder="1"/>
    <xf numFmtId="42" fontId="1" fillId="0" borderId="0" xfId="0" applyNumberFormat="1" applyFont="1" applyFill="1" applyBorder="1"/>
    <xf numFmtId="41" fontId="1" fillId="0" borderId="0" xfId="0" applyNumberFormat="1" applyFont="1" applyFill="1" applyBorder="1"/>
    <xf numFmtId="0" fontId="4" fillId="0" borderId="0" xfId="0" applyFont="1" applyFill="1"/>
    <xf numFmtId="0" fontId="6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42" fontId="4" fillId="0" borderId="0" xfId="0" applyNumberFormat="1" applyFont="1" applyFill="1"/>
    <xf numFmtId="168" fontId="4" fillId="0" borderId="0" xfId="0" applyNumberFormat="1" applyFont="1" applyFill="1"/>
    <xf numFmtId="0" fontId="4" fillId="0" borderId="0" xfId="0" applyFont="1" applyFill="1" applyBorder="1"/>
    <xf numFmtId="168" fontId="4" fillId="0" borderId="3" xfId="0" applyNumberFormat="1" applyFont="1" applyFill="1" applyBorder="1"/>
    <xf numFmtId="0" fontId="1" fillId="0" borderId="5" xfId="0" applyFont="1" applyFill="1" applyBorder="1" applyAlignment="1">
      <alignment horizontal="right"/>
    </xf>
    <xf numFmtId="0" fontId="1" fillId="0" borderId="11" xfId="0" applyFont="1" applyFill="1" applyBorder="1" applyAlignment="1">
      <alignment horizontal="right"/>
    </xf>
    <xf numFmtId="168" fontId="1" fillId="0" borderId="19" xfId="0" applyNumberFormat="1" applyFont="1" applyFill="1" applyBorder="1"/>
    <xf numFmtId="43" fontId="1" fillId="0" borderId="0" xfId="0" applyNumberFormat="1" applyFont="1" applyFill="1"/>
    <xf numFmtId="0" fontId="5" fillId="0" borderId="22" xfId="0" applyFont="1" applyFill="1" applyBorder="1" applyAlignment="1">
      <alignment horizontal="centerContinuous"/>
    </xf>
    <xf numFmtId="0" fontId="5" fillId="0" borderId="20" xfId="0" applyFont="1" applyFill="1" applyBorder="1" applyAlignment="1">
      <alignment horizontal="centerContinuous"/>
    </xf>
    <xf numFmtId="0" fontId="5" fillId="0" borderId="10" xfId="0" applyFont="1" applyFill="1" applyBorder="1" applyAlignment="1">
      <alignment horizontal="centerContinuous"/>
    </xf>
    <xf numFmtId="9" fontId="1" fillId="0" borderId="19" xfId="0" applyNumberFormat="1" applyFont="1" applyFill="1" applyBorder="1"/>
    <xf numFmtId="178" fontId="1" fillId="0" borderId="21" xfId="0" applyNumberFormat="1" applyFont="1" applyFill="1" applyBorder="1"/>
    <xf numFmtId="168" fontId="4" fillId="0" borderId="19" xfId="0" applyNumberFormat="1" applyFont="1" applyFill="1" applyBorder="1"/>
    <xf numFmtId="169" fontId="4" fillId="0" borderId="19" xfId="0" applyNumberFormat="1" applyFont="1" applyFill="1" applyBorder="1"/>
    <xf numFmtId="0" fontId="4" fillId="0" borderId="19" xfId="0" applyFont="1" applyFill="1" applyBorder="1"/>
    <xf numFmtId="166" fontId="4" fillId="0" borderId="3" xfId="0" applyNumberFormat="1" applyFont="1" applyFill="1" applyBorder="1"/>
    <xf numFmtId="169" fontId="1" fillId="0" borderId="19" xfId="0" applyNumberFormat="1" applyFont="1" applyFill="1" applyBorder="1"/>
    <xf numFmtId="42" fontId="1" fillId="0" borderId="3" xfId="0" applyNumberFormat="1" applyFont="1" applyFill="1" applyBorder="1"/>
    <xf numFmtId="0" fontId="3" fillId="0" borderId="21" xfId="0" applyFont="1" applyFill="1" applyBorder="1" applyAlignment="1">
      <alignment horizontal="center"/>
    </xf>
    <xf numFmtId="10" fontId="4" fillId="0" borderId="0" xfId="0" applyNumberFormat="1" applyFont="1" applyFill="1" applyAlignment="1">
      <alignment horizontal="center"/>
    </xf>
    <xf numFmtId="10" fontId="4" fillId="0" borderId="0" xfId="0" applyNumberFormat="1" applyFont="1" applyFill="1"/>
    <xf numFmtId="41" fontId="1" fillId="0" borderId="19" xfId="0" applyNumberFormat="1" applyFont="1" applyFill="1" applyBorder="1"/>
    <xf numFmtId="42" fontId="1" fillId="0" borderId="1" xfId="0" applyNumberFormat="1" applyFont="1" applyFill="1" applyBorder="1"/>
    <xf numFmtId="41" fontId="0" fillId="0" borderId="0" xfId="0" applyNumberFormat="1"/>
    <xf numFmtId="0" fontId="11" fillId="0" borderId="0" xfId="0" applyFont="1"/>
    <xf numFmtId="0" fontId="0" fillId="0" borderId="0" xfId="0" applyAlignment="1">
      <alignment horizontal="center"/>
    </xf>
    <xf numFmtId="10" fontId="0" fillId="0" borderId="0" xfId="0" applyNumberFormat="1"/>
    <xf numFmtId="3" fontId="2" fillId="0" borderId="2" xfId="0" applyNumberFormat="1" applyFont="1" applyFill="1" applyBorder="1" applyAlignment="1"/>
    <xf numFmtId="3" fontId="2" fillId="0" borderId="0" xfId="0" applyNumberFormat="1" applyFont="1" applyFill="1" applyAlignment="1"/>
    <xf numFmtId="168" fontId="0" fillId="0" borderId="0" xfId="0" applyNumberFormat="1" applyFont="1"/>
    <xf numFmtId="0" fontId="12" fillId="0" borderId="0" xfId="0" applyFont="1" applyAlignment="1">
      <alignment horizontal="center"/>
    </xf>
    <xf numFmtId="168" fontId="0" fillId="0" borderId="0" xfId="0" applyNumberFormat="1"/>
    <xf numFmtId="0" fontId="2" fillId="0" borderId="21" xfId="0" applyNumberFormat="1" applyFont="1" applyFill="1" applyBorder="1" applyAlignment="1">
      <alignment horizontal="center" vertical="center" wrapText="1"/>
    </xf>
    <xf numFmtId="0" fontId="13" fillId="0" borderId="21" xfId="0" applyNumberFormat="1" applyFont="1" applyFill="1" applyBorder="1" applyAlignment="1">
      <alignment horizontal="center" vertical="center" textRotation="90" wrapText="1"/>
    </xf>
    <xf numFmtId="168" fontId="2" fillId="0" borderId="21" xfId="0" applyNumberFormat="1" applyFont="1" applyFill="1" applyBorder="1" applyAlignment="1">
      <alignment horizontal="center" vertical="center" wrapText="1"/>
    </xf>
    <xf numFmtId="3" fontId="2" fillId="0" borderId="21" xfId="0" applyNumberFormat="1" applyFont="1" applyFill="1" applyBorder="1" applyAlignment="1">
      <alignment horizontal="center" vertical="center" wrapText="1"/>
    </xf>
    <xf numFmtId="3" fontId="13" fillId="0" borderId="21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Alignment="1">
      <alignment vertical="top"/>
    </xf>
    <xf numFmtId="14" fontId="0" fillId="0" borderId="0" xfId="0" applyNumberFormat="1"/>
    <xf numFmtId="0" fontId="10" fillId="0" borderId="0" xfId="0" applyFont="1"/>
    <xf numFmtId="168" fontId="0" fillId="0" borderId="0" xfId="0" applyNumberFormat="1" applyFont="1" applyFill="1"/>
    <xf numFmtId="0" fontId="0" fillId="0" borderId="0" xfId="0" applyAlignment="1">
      <alignment horizontal="center" vertical="top"/>
    </xf>
    <xf numFmtId="14" fontId="0" fillId="0" borderId="0" xfId="0" applyNumberFormat="1" applyAlignment="1">
      <alignment vertical="top"/>
    </xf>
    <xf numFmtId="0" fontId="0" fillId="0" borderId="0" xfId="0" applyFill="1"/>
    <xf numFmtId="0" fontId="0" fillId="0" borderId="0" xfId="0" applyFill="1" applyAlignment="1">
      <alignment horizontal="center"/>
    </xf>
    <xf numFmtId="168" fontId="0" fillId="0" borderId="0" xfId="0" applyNumberFormat="1" applyFill="1"/>
    <xf numFmtId="10" fontId="0" fillId="0" borderId="0" xfId="0" applyNumberFormat="1" applyFont="1"/>
    <xf numFmtId="43" fontId="0" fillId="0" borderId="0" xfId="0" applyNumberFormat="1"/>
    <xf numFmtId="0" fontId="2" fillId="0" borderId="19" xfId="0" applyNumberFormat="1" applyFont="1" applyFill="1" applyBorder="1" applyAlignment="1">
      <alignment vertical="top"/>
    </xf>
    <xf numFmtId="0" fontId="0" fillId="0" borderId="19" xfId="0" applyBorder="1"/>
    <xf numFmtId="0" fontId="0" fillId="0" borderId="19" xfId="0" applyBorder="1" applyAlignment="1">
      <alignment horizontal="center"/>
    </xf>
    <xf numFmtId="168" fontId="0" fillId="0" borderId="19" xfId="0" applyNumberFormat="1" applyFont="1" applyBorder="1"/>
    <xf numFmtId="168" fontId="0" fillId="0" borderId="19" xfId="0" applyNumberFormat="1" applyBorder="1"/>
    <xf numFmtId="0" fontId="12" fillId="0" borderId="0" xfId="0" applyFont="1"/>
    <xf numFmtId="168" fontId="0" fillId="0" borderId="0" xfId="0" applyNumberFormat="1" applyFont="1" applyFill="1" applyAlignment="1">
      <alignment horizontal="right"/>
    </xf>
    <xf numFmtId="41" fontId="0" fillId="0" borderId="0" xfId="0" applyNumberFormat="1" applyFill="1" applyBorder="1"/>
    <xf numFmtId="0" fontId="0" fillId="0" borderId="0" xfId="0" applyFill="1" applyAlignment="1">
      <alignment horizontal="right"/>
    </xf>
    <xf numFmtId="168" fontId="0" fillId="0" borderId="0" xfId="0" applyNumberFormat="1" applyFill="1" applyBorder="1"/>
    <xf numFmtId="0" fontId="0" fillId="0" borderId="0" xfId="0" applyFill="1" applyAlignment="1">
      <alignment horizontal="right" indent="1"/>
    </xf>
    <xf numFmtId="0" fontId="12" fillId="0" borderId="0" xfId="0" applyFont="1" applyFill="1" applyAlignment="1">
      <alignment horizontal="center"/>
    </xf>
    <xf numFmtId="0" fontId="9" fillId="0" borderId="0" xfId="0" applyFont="1" applyFill="1"/>
    <xf numFmtId="0" fontId="9" fillId="0" borderId="0" xfId="0" applyFont="1" applyFill="1" applyAlignment="1">
      <alignment horizontal="right"/>
    </xf>
    <xf numFmtId="168" fontId="9" fillId="0" borderId="0" xfId="0" applyNumberFormat="1" applyFont="1" applyFill="1" applyBorder="1"/>
    <xf numFmtId="42" fontId="9" fillId="0" borderId="0" xfId="0" applyNumberFormat="1" applyFont="1" applyFill="1" applyBorder="1"/>
    <xf numFmtId="42" fontId="0" fillId="0" borderId="0" xfId="0" applyNumberFormat="1" applyFill="1"/>
    <xf numFmtId="0" fontId="11" fillId="0" borderId="0" xfId="0" applyFont="1" applyFill="1" applyAlignment="1">
      <alignment horizontal="right"/>
    </xf>
    <xf numFmtId="169" fontId="0" fillId="0" borderId="0" xfId="0" applyNumberFormat="1" applyFont="1"/>
    <xf numFmtId="169" fontId="0" fillId="0" borderId="3" xfId="0" applyNumberFormat="1" applyFont="1" applyBorder="1"/>
    <xf numFmtId="168" fontId="0" fillId="0" borderId="0" xfId="0" applyNumberFormat="1" applyFont="1"/>
    <xf numFmtId="0" fontId="0" fillId="0" borderId="0" xfId="0" applyAlignment="1">
      <alignment horizontal="left" indent="1"/>
    </xf>
    <xf numFmtId="169" fontId="0" fillId="0" borderId="0" xfId="0" applyNumberFormat="1" applyFont="1"/>
    <xf numFmtId="0" fontId="11" fillId="0" borderId="0" xfId="0" applyFont="1" applyAlignment="1">
      <alignment horizontal="center"/>
    </xf>
    <xf numFmtId="169" fontId="11" fillId="0" borderId="3" xfId="0" applyNumberFormat="1" applyFont="1" applyBorder="1" applyAlignment="1">
      <alignment horizontal="center"/>
    </xf>
    <xf numFmtId="0" fontId="11" fillId="0" borderId="0" xfId="0" applyFont="1" applyAlignment="1"/>
    <xf numFmtId="0" fontId="0" fillId="0" borderId="0" xfId="0" applyFont="1" applyAlignment="1"/>
    <xf numFmtId="169" fontId="0" fillId="0" borderId="19" xfId="0" applyNumberFormat="1" applyFont="1" applyBorder="1" applyAlignment="1">
      <alignment horizontal="center"/>
    </xf>
    <xf numFmtId="179" fontId="0" fillId="0" borderId="0" xfId="0" applyNumberFormat="1" applyAlignment="1">
      <alignment horizontal="center"/>
    </xf>
    <xf numFmtId="10" fontId="0" fillId="0" borderId="0" xfId="0" applyNumberFormat="1" applyFill="1" applyBorder="1" applyAlignment="1">
      <alignment horizontal="center"/>
    </xf>
    <xf numFmtId="10" fontId="0" fillId="0" borderId="0" xfId="0" applyNumberFormat="1" applyAlignment="1">
      <alignment horizontal="center"/>
    </xf>
    <xf numFmtId="9" fontId="0" fillId="0" borderId="0" xfId="0" applyNumberFormat="1"/>
    <xf numFmtId="168" fontId="0" fillId="2" borderId="0" xfId="0" applyNumberFormat="1" applyFont="1" applyFill="1"/>
    <xf numFmtId="169" fontId="0" fillId="2" borderId="0" xfId="0" applyNumberFormat="1" applyFont="1" applyFill="1"/>
    <xf numFmtId="169" fontId="0" fillId="0" borderId="0" xfId="0" applyNumberFormat="1" applyFont="1" applyBorder="1" applyAlignment="1">
      <alignment horizontal="center"/>
    </xf>
    <xf numFmtId="169" fontId="11" fillId="0" borderId="0" xfId="0" applyNumberFormat="1" applyFont="1" applyBorder="1" applyAlignment="1">
      <alignment horizontal="center"/>
    </xf>
    <xf numFmtId="169" fontId="0" fillId="0" borderId="0" xfId="0" applyNumberFormat="1" applyFont="1" applyBorder="1"/>
    <xf numFmtId="168" fontId="0" fillId="0" borderId="0" xfId="0" applyNumberFormat="1" applyFont="1" applyAlignment="1">
      <alignment horizontal="center"/>
    </xf>
    <xf numFmtId="179" fontId="0" fillId="0" borderId="0" xfId="0" applyNumberFormat="1"/>
    <xf numFmtId="187" fontId="0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Fill="1" applyAlignment="1">
      <alignment horizontal="center"/>
    </xf>
    <xf numFmtId="169" fontId="0" fillId="0" borderId="0" xfId="0" applyNumberFormat="1"/>
    <xf numFmtId="42" fontId="0" fillId="0" borderId="0" xfId="0" applyNumberFormat="1"/>
    <xf numFmtId="0" fontId="11" fillId="0" borderId="0" xfId="0" applyFont="1" applyAlignment="1">
      <alignment horizontal="left"/>
    </xf>
    <xf numFmtId="168" fontId="11" fillId="0" borderId="0" xfId="0" applyNumberFormat="1" applyFont="1" applyAlignment="1">
      <alignment horizontal="center"/>
    </xf>
    <xf numFmtId="0" fontId="7" fillId="0" borderId="0" xfId="0" applyFont="1" applyAlignment="1">
      <alignment horizontal="left" indent="1"/>
    </xf>
    <xf numFmtId="0" fontId="7" fillId="0" borderId="0" xfId="0" applyFont="1" applyFill="1" applyAlignment="1">
      <alignment horizontal="left" indent="1"/>
    </xf>
    <xf numFmtId="0" fontId="0" fillId="0" borderId="0" xfId="0" applyFont="1" applyAlignment="1">
      <alignment horizontal="left" indent="1"/>
    </xf>
    <xf numFmtId="168" fontId="0" fillId="3" borderId="0" xfId="0" applyNumberFormat="1" applyFont="1" applyFill="1"/>
    <xf numFmtId="3" fontId="2" fillId="0" borderId="0" xfId="0" applyNumberFormat="1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center"/>
    </xf>
    <xf numFmtId="0" fontId="15" fillId="0" borderId="0" xfId="0" applyFont="1"/>
    <xf numFmtId="0" fontId="14" fillId="4" borderId="0" xfId="0" applyFont="1" applyFill="1" applyAlignment="1">
      <alignment horizontal="left"/>
    </xf>
    <xf numFmtId="0" fontId="14" fillId="4" borderId="0" xfId="0" applyFont="1" applyFill="1" applyAlignment="1">
      <alignment horizontal="center"/>
    </xf>
    <xf numFmtId="0" fontId="11" fillId="4" borderId="0" xfId="0" applyFont="1" applyFill="1" applyAlignment="1">
      <alignment horizontal="center"/>
    </xf>
    <xf numFmtId="168" fontId="11" fillId="4" borderId="0" xfId="0" applyNumberFormat="1" applyFont="1" applyFill="1" applyAlignment="1">
      <alignment horizontal="center"/>
    </xf>
    <xf numFmtId="0" fontId="14" fillId="4" borderId="0" xfId="0" applyFont="1" applyFill="1"/>
    <xf numFmtId="0" fontId="7" fillId="4" borderId="0" xfId="0" applyFont="1" applyFill="1" applyAlignment="1">
      <alignment horizontal="center"/>
    </xf>
    <xf numFmtId="168" fontId="0" fillId="4" borderId="0" xfId="0" applyNumberFormat="1" applyFont="1" applyFill="1"/>
    <xf numFmtId="168" fontId="0" fillId="4" borderId="0" xfId="0" applyNumberFormat="1" applyFont="1" applyFill="1" applyAlignment="1">
      <alignment horizontal="center"/>
    </xf>
    <xf numFmtId="169" fontId="0" fillId="4" borderId="0" xfId="0" applyNumberFormat="1" applyFont="1" applyFill="1"/>
    <xf numFmtId="42" fontId="14" fillId="4" borderId="0" xfId="0" applyNumberFormat="1" applyFont="1" applyFill="1" applyAlignment="1">
      <alignment horizontal="center"/>
    </xf>
    <xf numFmtId="0" fontId="10" fillId="0" borderId="0" xfId="0" applyFont="1" applyAlignment="1">
      <alignment horizontal="left" indent="1"/>
    </xf>
    <xf numFmtId="0" fontId="10" fillId="0" borderId="0" xfId="0" applyFont="1" applyAlignment="1">
      <alignment horizontal="center"/>
    </xf>
    <xf numFmtId="168" fontId="10" fillId="2" borderId="0" xfId="0" applyNumberFormat="1" applyFont="1" applyFill="1"/>
    <xf numFmtId="168" fontId="10" fillId="0" borderId="0" xfId="0" applyNumberFormat="1" applyFont="1"/>
    <xf numFmtId="0" fontId="10" fillId="0" borderId="0" xfId="0" applyFont="1" applyAlignment="1">
      <alignment horizontal="left"/>
    </xf>
    <xf numFmtId="169" fontId="10" fillId="0" borderId="0" xfId="0" applyNumberFormat="1" applyFont="1" applyBorder="1"/>
    <xf numFmtId="169" fontId="10" fillId="0" borderId="0" xfId="0" applyNumberFormat="1" applyFont="1"/>
    <xf numFmtId="169" fontId="10" fillId="0" borderId="3" xfId="0" applyNumberFormat="1" applyFont="1" applyBorder="1"/>
    <xf numFmtId="0" fontId="0" fillId="5" borderId="0" xfId="0" applyFill="1"/>
    <xf numFmtId="168" fontId="0" fillId="5" borderId="0" xfId="0" applyNumberFormat="1" applyFont="1" applyFill="1"/>
    <xf numFmtId="168" fontId="0" fillId="5" borderId="0" xfId="0" applyNumberFormat="1" applyFill="1"/>
    <xf numFmtId="0" fontId="9" fillId="5" borderId="0" xfId="0" applyFont="1" applyFill="1"/>
    <xf numFmtId="0" fontId="10" fillId="5" borderId="0" xfId="0" applyFont="1" applyFill="1" applyAlignment="1">
      <alignment horizontal="center"/>
    </xf>
    <xf numFmtId="168" fontId="10" fillId="5" borderId="0" xfId="0" applyNumberFormat="1" applyFont="1" applyFill="1"/>
    <xf numFmtId="0" fontId="16" fillId="0" borderId="0" xfId="0" applyFont="1" applyAlignment="1">
      <alignment horizontal="left" indent="1"/>
    </xf>
    <xf numFmtId="0" fontId="16" fillId="0" borderId="0" xfId="0" applyFont="1" applyAlignment="1">
      <alignment horizontal="center"/>
    </xf>
    <xf numFmtId="168" fontId="16" fillId="0" borderId="0" xfId="0" applyNumberFormat="1" applyFont="1"/>
    <xf numFmtId="168" fontId="16" fillId="2" borderId="0" xfId="0" applyNumberFormat="1" applyFont="1" applyFill="1"/>
    <xf numFmtId="0" fontId="16" fillId="0" borderId="0" xfId="0" applyFont="1" applyFill="1"/>
    <xf numFmtId="0" fontId="16" fillId="0" borderId="0" xfId="0" applyFont="1" applyAlignment="1">
      <alignment horizontal="center" vertical="top"/>
    </xf>
    <xf numFmtId="14" fontId="16" fillId="0" borderId="0" xfId="0" applyNumberFormat="1" applyFont="1" applyAlignment="1">
      <alignment vertical="top"/>
    </xf>
    <xf numFmtId="168" fontId="16" fillId="0" borderId="0" xfId="0" applyNumberFormat="1" applyFont="1"/>
    <xf numFmtId="0" fontId="16" fillId="0" borderId="0" xfId="0" applyFont="1"/>
    <xf numFmtId="43" fontId="16" fillId="0" borderId="0" xfId="0" applyNumberFormat="1" applyFont="1"/>
    <xf numFmtId="10" fontId="16" fillId="6" borderId="2" xfId="0" applyNumberFormat="1" applyFont="1" applyFill="1" applyBorder="1"/>
    <xf numFmtId="169" fontId="10" fillId="0" borderId="0" xfId="0" applyNumberFormat="1" applyFont="1"/>
    <xf numFmtId="0" fontId="11" fillId="0" borderId="0" xfId="0" applyFont="1" applyFill="1"/>
    <xf numFmtId="0" fontId="0" fillId="0" borderId="0" xfId="0" applyFont="1" applyFill="1"/>
    <xf numFmtId="0" fontId="0" fillId="0" borderId="0" xfId="0" applyFont="1" applyFill="1" applyAlignment="1">
      <alignment horizontal="left" indent="1"/>
    </xf>
    <xf numFmtId="168" fontId="16" fillId="0" borderId="0" xfId="0" applyNumberFormat="1" applyFont="1" applyFill="1"/>
    <xf numFmtId="0" fontId="9" fillId="7" borderId="0" xfId="0" applyFont="1" applyFill="1"/>
    <xf numFmtId="0" fontId="10" fillId="7" borderId="0" xfId="0" applyFont="1" applyFill="1" applyAlignment="1">
      <alignment horizontal="center"/>
    </xf>
    <xf numFmtId="168" fontId="10" fillId="7" borderId="0" xfId="0" applyNumberFormat="1" applyFont="1" applyFill="1"/>
    <xf numFmtId="168" fontId="0" fillId="7" borderId="0" xfId="0" applyNumberFormat="1" applyFont="1" applyFill="1"/>
    <xf numFmtId="0" fontId="0" fillId="7" borderId="0" xfId="0" applyFill="1"/>
    <xf numFmtId="168" fontId="0" fillId="7" borderId="0" xfId="0" applyNumberFormat="1" applyFill="1"/>
    <xf numFmtId="0" fontId="17" fillId="0" borderId="0" xfId="0" applyFont="1" applyFill="1"/>
    <xf numFmtId="0" fontId="17" fillId="0" borderId="0" xfId="0" applyFont="1" applyAlignment="1">
      <alignment horizontal="center" vertical="top"/>
    </xf>
    <xf numFmtId="14" fontId="17" fillId="0" borderId="0" xfId="0" applyNumberFormat="1" applyFont="1" applyAlignment="1">
      <alignment vertical="top"/>
    </xf>
    <xf numFmtId="168" fontId="17" fillId="0" borderId="0" xfId="0" applyNumberFormat="1" applyFont="1"/>
    <xf numFmtId="0" fontId="17" fillId="0" borderId="0" xfId="0" applyFont="1"/>
    <xf numFmtId="185" fontId="0" fillId="0" borderId="0" xfId="0" applyNumberFormat="1" applyFont="1"/>
    <xf numFmtId="41" fontId="0" fillId="6" borderId="0" xfId="0" applyNumberFormat="1" applyFill="1"/>
    <xf numFmtId="0" fontId="17" fillId="0" borderId="0" xfId="0" applyFont="1" applyAlignment="1">
      <alignment horizontal="center"/>
    </xf>
    <xf numFmtId="168" fontId="17" fillId="0" borderId="0" xfId="0" applyNumberFormat="1" applyFont="1"/>
    <xf numFmtId="168" fontId="17" fillId="2" borderId="0" xfId="0" applyNumberFormat="1" applyFont="1" applyFill="1"/>
    <xf numFmtId="0" fontId="3" fillId="0" borderId="0" xfId="0" applyFont="1" applyFill="1"/>
    <xf numFmtId="0" fontId="1" fillId="0" borderId="15" xfId="0" applyFont="1" applyFill="1" applyBorder="1" applyAlignment="1">
      <alignment horizontal="center"/>
    </xf>
    <xf numFmtId="0" fontId="1" fillId="0" borderId="15" xfId="0" applyFont="1" applyFill="1" applyBorder="1"/>
    <xf numFmtId="168" fontId="1" fillId="0" borderId="14" xfId="0" applyNumberFormat="1" applyFont="1" applyFill="1" applyBorder="1"/>
    <xf numFmtId="166" fontId="1" fillId="0" borderId="0" xfId="0" applyNumberFormat="1" applyFont="1" applyFill="1" applyBorder="1"/>
    <xf numFmtId="42" fontId="1" fillId="0" borderId="15" xfId="0" applyNumberFormat="1" applyFont="1" applyFill="1" applyBorder="1"/>
    <xf numFmtId="169" fontId="1" fillId="0" borderId="14" xfId="0" applyNumberFormat="1" applyFont="1" applyFill="1" applyBorder="1"/>
    <xf numFmtId="168" fontId="1" fillId="0" borderId="17" xfId="0" applyNumberFormat="1" applyFont="1" applyFill="1" applyBorder="1"/>
    <xf numFmtId="0" fontId="3" fillId="0" borderId="0" xfId="0" applyFont="1" applyFill="1" applyAlignment="1">
      <alignment horizontal="centerContinuous"/>
    </xf>
    <xf numFmtId="0" fontId="5" fillId="0" borderId="21" xfId="0" applyFont="1" applyFill="1" applyBorder="1" applyAlignment="1">
      <alignment horizontal="center"/>
    </xf>
    <xf numFmtId="0" fontId="1" fillId="0" borderId="21" xfId="0" applyFont="1" applyFill="1" applyBorder="1"/>
    <xf numFmtId="168" fontId="1" fillId="0" borderId="21" xfId="0" applyNumberFormat="1" applyFont="1" applyFill="1" applyBorder="1"/>
    <xf numFmtId="41" fontId="1" fillId="0" borderId="21" xfId="0" applyNumberFormat="1" applyFont="1" applyFill="1" applyBorder="1"/>
    <xf numFmtId="42" fontId="1" fillId="0" borderId="20" xfId="0" applyNumberFormat="1" applyFont="1" applyFill="1" applyBorder="1"/>
    <xf numFmtId="42" fontId="3" fillId="0" borderId="3" xfId="0" applyNumberFormat="1" applyFont="1" applyFill="1" applyBorder="1"/>
    <xf numFmtId="9" fontId="1" fillId="0" borderId="0" xfId="0" applyNumberFormat="1" applyFont="1" applyFill="1"/>
    <xf numFmtId="41" fontId="1" fillId="0" borderId="21" xfId="0" applyNumberFormat="1" applyFont="1" applyFill="1" applyBorder="1" applyAlignment="1">
      <alignment horizontal="right"/>
    </xf>
    <xf numFmtId="168" fontId="1" fillId="0" borderId="0" xfId="0" applyNumberFormat="1" applyFont="1" applyFill="1" applyBorder="1"/>
    <xf numFmtId="0" fontId="4" fillId="0" borderId="0" xfId="0" applyFont="1" applyFill="1" applyAlignment="1">
      <alignment horizontal="left" indent="1"/>
    </xf>
    <xf numFmtId="9" fontId="1" fillId="0" borderId="0" xfId="0" applyNumberFormat="1" applyFont="1" applyFill="1" applyAlignment="1">
      <alignment horizontal="right"/>
    </xf>
    <xf numFmtId="10" fontId="1" fillId="0" borderId="0" xfId="0" applyNumberFormat="1" applyFont="1" applyFill="1" applyBorder="1"/>
    <xf numFmtId="169" fontId="1" fillId="0" borderId="0" xfId="0" applyNumberFormat="1" applyFont="1" applyFill="1"/>
    <xf numFmtId="9" fontId="1" fillId="0" borderId="0" xfId="0" applyNumberFormat="1" applyFont="1" applyFill="1" applyBorder="1"/>
    <xf numFmtId="41" fontId="4" fillId="0" borderId="0" xfId="0" applyNumberFormat="1" applyFont="1" applyFill="1"/>
    <xf numFmtId="171" fontId="1" fillId="0" borderId="0" xfId="0" applyNumberFormat="1" applyFont="1" applyFill="1"/>
    <xf numFmtId="44" fontId="1" fillId="0" borderId="0" xfId="0" applyNumberFormat="1" applyFont="1" applyFill="1"/>
    <xf numFmtId="0" fontId="4" fillId="0" borderId="0" xfId="0" applyFont="1" applyFill="1" applyAlignment="1">
      <alignment horizontal="left" wrapText="1"/>
    </xf>
    <xf numFmtId="10" fontId="11" fillId="8" borderId="0" xfId="0" applyNumberFormat="1" applyFont="1" applyFill="1"/>
    <xf numFmtId="10" fontId="17" fillId="6" borderId="2" xfId="0" applyNumberFormat="1" applyFont="1" applyFill="1" applyBorder="1"/>
    <xf numFmtId="42" fontId="17" fillId="0" borderId="0" xfId="0" applyNumberFormat="1" applyFont="1"/>
    <xf numFmtId="41" fontId="0" fillId="0" borderId="0" xfId="0" applyNumberFormat="1" applyFont="1" applyFill="1"/>
    <xf numFmtId="42" fontId="0" fillId="0" borderId="0" xfId="0" applyNumberFormat="1" applyFont="1" applyFill="1"/>
    <xf numFmtId="10" fontId="0" fillId="0" borderId="0" xfId="0" applyNumberFormat="1" applyFont="1" applyFill="1"/>
    <xf numFmtId="178" fontId="0" fillId="0" borderId="0" xfId="0" applyNumberFormat="1" applyFont="1" applyFill="1"/>
    <xf numFmtId="189" fontId="0" fillId="0" borderId="0" xfId="0" applyNumberFormat="1" applyFont="1" applyFill="1"/>
    <xf numFmtId="9" fontId="0" fillId="0" borderId="0" xfId="0" applyNumberFormat="1" applyFont="1" applyFill="1"/>
    <xf numFmtId="10" fontId="1" fillId="0" borderId="19" xfId="0" applyNumberFormat="1" applyFont="1" applyFill="1" applyBorder="1"/>
    <xf numFmtId="42" fontId="1" fillId="0" borderId="1" xfId="0" applyNumberFormat="1" applyFont="1" applyFill="1" applyBorder="1" applyAlignment="1" applyProtection="1">
      <protection locked="0"/>
    </xf>
    <xf numFmtId="0" fontId="5" fillId="0" borderId="0" xfId="0" applyFont="1" applyFill="1"/>
    <xf numFmtId="166" fontId="4" fillId="0" borderId="0" xfId="0" applyNumberFormat="1" applyFont="1" applyFill="1" applyBorder="1"/>
    <xf numFmtId="0" fontId="5" fillId="0" borderId="4" xfId="0" applyFont="1" applyFill="1" applyBorder="1" applyAlignment="1">
      <alignment horizontal="centerContinuous"/>
    </xf>
    <xf numFmtId="0" fontId="1" fillId="0" borderId="10" xfId="0" applyFont="1" applyFill="1" applyBorder="1" applyAlignment="1">
      <alignment horizontal="centerContinuous"/>
    </xf>
    <xf numFmtId="0" fontId="8" fillId="0" borderId="22" xfId="0" applyNumberFormat="1" applyFont="1" applyFill="1" applyBorder="1" applyAlignment="1"/>
    <xf numFmtId="178" fontId="1" fillId="0" borderId="0" xfId="0" applyNumberFormat="1" applyFont="1" applyFill="1" applyAlignment="1"/>
    <xf numFmtId="42" fontId="1" fillId="0" borderId="19" xfId="0" applyNumberFormat="1" applyFont="1" applyFill="1" applyBorder="1"/>
    <xf numFmtId="0" fontId="1" fillId="0" borderId="0" xfId="0" applyFont="1" applyFill="1" applyAlignment="1">
      <alignment horizontal="left" indent="1"/>
    </xf>
    <xf numFmtId="168" fontId="1" fillId="0" borderId="0" xfId="0" applyNumberFormat="1" applyFont="1" applyFill="1"/>
    <xf numFmtId="0" fontId="1" fillId="0" borderId="0" xfId="0" quotePrefix="1" applyFont="1" applyFill="1"/>
    <xf numFmtId="0" fontId="11" fillId="0" borderId="0" xfId="0" applyNumberFormat="1" applyFont="1" applyFill="1" applyAlignment="1"/>
    <xf numFmtId="0" fontId="18" fillId="0" borderId="33" xfId="0" applyNumberFormat="1" applyFont="1" applyFill="1" applyBorder="1" applyAlignment="1">
      <alignment horizontal="centerContinuous" vertical="center" wrapText="1"/>
    </xf>
    <xf numFmtId="0" fontId="11" fillId="0" borderId="21" xfId="0" applyNumberFormat="1" applyFont="1" applyFill="1" applyBorder="1" applyAlignment="1">
      <alignment horizontal="center" wrapText="1"/>
    </xf>
    <xf numFmtId="0" fontId="0" fillId="0" borderId="0" xfId="0" applyNumberFormat="1" applyFont="1" applyFill="1" applyAlignment="1"/>
    <xf numFmtId="0" fontId="0" fillId="0" borderId="0" xfId="0" applyFont="1" applyFill="1" applyAlignment="1">
      <alignment horizontal="center"/>
    </xf>
    <xf numFmtId="0" fontId="0" fillId="0" borderId="0" xfId="0" applyNumberFormat="1" applyFont="1" applyFill="1" applyAlignment="1">
      <alignment horizontal="center"/>
    </xf>
    <xf numFmtId="0" fontId="19" fillId="0" borderId="0" xfId="0" applyNumberFormat="1" applyFont="1" applyFill="1" applyBorder="1" applyAlignment="1">
      <alignment horizontal="left"/>
    </xf>
    <xf numFmtId="0" fontId="0" fillId="0" borderId="0" xfId="0" applyNumberFormat="1" applyFont="1" applyFill="1" applyAlignment="1">
      <alignment horizontal="left" indent="1"/>
    </xf>
    <xf numFmtId="42" fontId="0" fillId="0" borderId="0" xfId="0" applyNumberFormat="1" applyFont="1" applyFill="1" applyAlignment="1" applyProtection="1">
      <protection locked="0"/>
    </xf>
    <xf numFmtId="41" fontId="0" fillId="0" borderId="0" xfId="0" applyNumberFormat="1" applyFont="1" applyFill="1" applyAlignment="1" applyProtection="1">
      <protection locked="0"/>
    </xf>
    <xf numFmtId="41" fontId="0" fillId="0" borderId="21" xfId="0" applyNumberFormat="1" applyFont="1" applyFill="1" applyBorder="1" applyAlignment="1" applyProtection="1">
      <protection locked="0"/>
    </xf>
    <xf numFmtId="0" fontId="0" fillId="0" borderId="19" xfId="0" applyNumberFormat="1" applyFont="1" applyFill="1" applyBorder="1" applyAlignment="1">
      <alignment horizontal="left"/>
    </xf>
    <xf numFmtId="41" fontId="0" fillId="0" borderId="19" xfId="0" applyNumberFormat="1" applyFont="1" applyFill="1" applyBorder="1" applyAlignment="1" applyProtection="1">
      <protection locked="0"/>
    </xf>
    <xf numFmtId="167" fontId="0" fillId="0" borderId="0" xfId="0" applyNumberFormat="1" applyFont="1" applyFill="1" applyAlignment="1" applyProtection="1">
      <protection locked="0"/>
    </xf>
    <xf numFmtId="0" fontId="0" fillId="0" borderId="0" xfId="0" applyNumberFormat="1" applyFont="1" applyFill="1" applyAlignment="1">
      <alignment horizontal="left"/>
    </xf>
    <xf numFmtId="167" fontId="0" fillId="0" borderId="0" xfId="0" applyNumberFormat="1" applyFont="1" applyFill="1" applyAlignment="1"/>
    <xf numFmtId="0" fontId="0" fillId="0" borderId="0" xfId="0" applyNumberFormat="1" applyFont="1" applyFill="1" applyBorder="1" applyAlignment="1">
      <alignment horizontal="left"/>
    </xf>
    <xf numFmtId="0" fontId="0" fillId="0" borderId="0" xfId="0" quotePrefix="1" applyNumberFormat="1" applyFont="1" applyFill="1" applyAlignment="1">
      <alignment horizontal="left"/>
    </xf>
    <xf numFmtId="42" fontId="0" fillId="0" borderId="19" xfId="0" applyNumberFormat="1" applyFont="1" applyFill="1" applyBorder="1" applyAlignment="1"/>
    <xf numFmtId="42" fontId="0" fillId="0" borderId="0" xfId="0" applyNumberFormat="1" applyFont="1" applyFill="1" applyAlignment="1"/>
    <xf numFmtId="42" fontId="0" fillId="0" borderId="0" xfId="0" applyNumberFormat="1" applyFont="1" applyFill="1" applyAlignment="1">
      <alignment horizontal="left"/>
    </xf>
    <xf numFmtId="10" fontId="0" fillId="0" borderId="0" xfId="0" applyNumberFormat="1" applyFont="1" applyFill="1" applyAlignment="1"/>
    <xf numFmtId="164" fontId="0" fillId="0" borderId="0" xfId="0" applyNumberFormat="1" applyFont="1" applyFill="1" applyAlignment="1" applyProtection="1">
      <alignment horizontal="left"/>
    </xf>
    <xf numFmtId="42" fontId="0" fillId="0" borderId="0" xfId="0" applyNumberFormat="1" applyFont="1" applyFill="1" applyBorder="1" applyAlignment="1"/>
    <xf numFmtId="0" fontId="0" fillId="0" borderId="3" xfId="0" applyNumberFormat="1" applyFont="1" applyFill="1" applyBorder="1" applyAlignment="1"/>
    <xf numFmtId="42" fontId="0" fillId="0" borderId="3" xfId="0" applyNumberFormat="1" applyFont="1" applyFill="1" applyBorder="1" applyAlignment="1" applyProtection="1"/>
    <xf numFmtId="0" fontId="19" fillId="0" borderId="0" xfId="0" applyNumberFormat="1" applyFont="1" applyFill="1" applyBorder="1" applyAlignment="1"/>
    <xf numFmtId="42" fontId="0" fillId="0" borderId="19" xfId="0" applyNumberFormat="1" applyFont="1" applyFill="1" applyBorder="1" applyAlignment="1" applyProtection="1"/>
    <xf numFmtId="0" fontId="0" fillId="0" borderId="3" xfId="0" applyNumberFormat="1" applyFont="1" applyFill="1" applyBorder="1" applyAlignment="1">
      <alignment horizontal="left"/>
    </xf>
    <xf numFmtId="42" fontId="0" fillId="0" borderId="3" xfId="0" applyNumberFormat="1" applyFont="1" applyFill="1" applyBorder="1" applyAlignment="1"/>
    <xf numFmtId="169" fontId="0" fillId="0" borderId="0" xfId="0" applyNumberFormat="1" applyFont="1" applyFill="1"/>
    <xf numFmtId="184" fontId="1" fillId="0" borderId="0" xfId="0" applyNumberFormat="1" applyFont="1" applyFill="1" applyAlignment="1">
      <alignment horizontal="left"/>
    </xf>
    <xf numFmtId="184" fontId="1" fillId="0" borderId="0" xfId="0" applyNumberFormat="1" applyFont="1" applyFill="1" applyAlignment="1">
      <alignment horizontal="center"/>
    </xf>
    <xf numFmtId="0" fontId="20" fillId="0" borderId="0" xfId="0" applyNumberFormat="1" applyFont="1" applyFill="1" applyAlignment="1">
      <alignment horizontal="left"/>
    </xf>
    <xf numFmtId="184" fontId="3" fillId="0" borderId="29" xfId="0" applyNumberFormat="1" applyFont="1" applyFill="1" applyBorder="1" applyAlignment="1">
      <alignment horizontal="centerContinuous"/>
    </xf>
    <xf numFmtId="184" fontId="3" fillId="0" borderId="28" xfId="0" applyNumberFormat="1" applyFont="1" applyFill="1" applyBorder="1" applyAlignment="1">
      <alignment horizontal="centerContinuous"/>
    </xf>
    <xf numFmtId="0" fontId="4" fillId="0" borderId="0" xfId="0" applyNumberFormat="1" applyFont="1" applyFill="1" applyAlignment="1">
      <alignment horizontal="center"/>
    </xf>
    <xf numFmtId="0" fontId="4" fillId="0" borderId="30" xfId="0" applyNumberFormat="1" applyFont="1" applyFill="1" applyBorder="1" applyAlignment="1">
      <alignment horizontal="center"/>
    </xf>
    <xf numFmtId="185" fontId="4" fillId="0" borderId="31" xfId="0" applyNumberFormat="1" applyFont="1" applyFill="1" applyBorder="1" applyAlignment="1">
      <alignment horizontal="center"/>
    </xf>
    <xf numFmtId="183" fontId="4" fillId="0" borderId="31" xfId="0" applyNumberFormat="1" applyFont="1" applyFill="1" applyBorder="1" applyAlignment="1">
      <alignment horizontal="center"/>
    </xf>
    <xf numFmtId="186" fontId="4" fillId="0" borderId="31" xfId="0" applyNumberFormat="1" applyFont="1" applyFill="1" applyBorder="1" applyAlignment="1">
      <alignment horizontal="center"/>
    </xf>
    <xf numFmtId="168" fontId="1" fillId="0" borderId="0" xfId="0" applyNumberFormat="1" applyFont="1" applyFill="1" applyAlignment="1">
      <alignment horizontal="left"/>
    </xf>
    <xf numFmtId="165" fontId="1" fillId="0" borderId="0" xfId="0" applyNumberFormat="1" applyFont="1" applyFill="1" applyAlignment="1">
      <alignment horizontal="left" wrapText="1"/>
    </xf>
    <xf numFmtId="0" fontId="1" fillId="0" borderId="0" xfId="0" applyNumberFormat="1" applyFont="1" applyFill="1" applyAlignment="1">
      <alignment horizontal="center"/>
    </xf>
    <xf numFmtId="184" fontId="1" fillId="0" borderId="0" xfId="0" applyNumberFormat="1" applyFont="1" applyFill="1" applyBorder="1" applyAlignment="1">
      <alignment horizontal="left"/>
    </xf>
    <xf numFmtId="168" fontId="1" fillId="0" borderId="32" xfId="0" applyNumberFormat="1" applyFont="1" applyFill="1" applyBorder="1" applyAlignment="1">
      <alignment horizontal="left"/>
    </xf>
    <xf numFmtId="184" fontId="1" fillId="0" borderId="0" xfId="0" applyNumberFormat="1" applyFont="1" applyFill="1" applyBorder="1" applyAlignment="1">
      <alignment horizontal="right"/>
    </xf>
    <xf numFmtId="184" fontId="1" fillId="0" borderId="0" xfId="0" applyNumberFormat="1" applyFont="1" applyFill="1" applyBorder="1" applyAlignment="1"/>
    <xf numFmtId="168" fontId="1" fillId="0" borderId="3" xfId="0" applyNumberFormat="1" applyFont="1" applyFill="1" applyBorder="1" applyAlignment="1">
      <alignment horizontal="left"/>
    </xf>
    <xf numFmtId="0" fontId="3" fillId="0" borderId="7" xfId="0" applyNumberFormat="1" applyFont="1" applyFill="1" applyBorder="1" applyAlignment="1">
      <alignment horizontal="right"/>
    </xf>
    <xf numFmtId="180" fontId="3" fillId="0" borderId="13" xfId="0" applyNumberFormat="1" applyFont="1" applyFill="1" applyBorder="1" applyAlignment="1">
      <alignment horizontal="right"/>
    </xf>
    <xf numFmtId="0" fontId="3" fillId="0" borderId="0" xfId="0" applyNumberFormat="1" applyFont="1" applyFill="1" applyAlignment="1">
      <alignment horizontal="right"/>
    </xf>
    <xf numFmtId="0" fontId="3" fillId="0" borderId="0" xfId="0" applyNumberFormat="1" applyFont="1" applyFill="1" applyAlignment="1" applyProtection="1">
      <alignment horizontal="centerContinuous"/>
      <protection locked="0"/>
    </xf>
    <xf numFmtId="0" fontId="3" fillId="0" borderId="0" xfId="0" applyNumberFormat="1" applyFont="1" applyFill="1" applyAlignment="1">
      <alignment horizontal="centerContinuous"/>
    </xf>
    <xf numFmtId="180" fontId="3" fillId="0" borderId="2" xfId="0" applyNumberFormat="1" applyFont="1" applyFill="1" applyBorder="1" applyAlignment="1">
      <alignment horizontal="center"/>
    </xf>
    <xf numFmtId="181" fontId="3" fillId="0" borderId="2" xfId="0" applyNumberFormat="1" applyFont="1" applyFill="1" applyBorder="1" applyAlignment="1">
      <alignment horizontal="center"/>
    </xf>
    <xf numFmtId="180" fontId="3" fillId="0" borderId="0" xfId="0" applyNumberFormat="1" applyFont="1" applyFill="1" applyBorder="1" applyAlignment="1">
      <alignment horizontal="center"/>
    </xf>
    <xf numFmtId="165" fontId="3" fillId="0" borderId="0" xfId="0" applyNumberFormat="1" applyFont="1" applyFill="1" applyAlignment="1" applyProtection="1">
      <alignment horizontal="centerContinuous"/>
      <protection locked="0"/>
    </xf>
    <xf numFmtId="0" fontId="3" fillId="0" borderId="0" xfId="0" quotePrefix="1" applyNumberFormat="1" applyFont="1" applyFill="1" applyBorder="1" applyAlignment="1">
      <alignment horizontal="centerContinuous"/>
    </xf>
    <xf numFmtId="0" fontId="3" fillId="0" borderId="0" xfId="0" applyNumberFormat="1" applyFont="1" applyFill="1" applyBorder="1" applyAlignment="1">
      <alignment horizontal="center"/>
    </xf>
    <xf numFmtId="0" fontId="3" fillId="0" borderId="0" xfId="0" applyNumberFormat="1" applyFont="1" applyFill="1" applyBorder="1" applyAlignment="1">
      <alignment horizontal="centerContinuous"/>
    </xf>
    <xf numFmtId="0" fontId="3" fillId="0" borderId="0" xfId="0" applyNumberFormat="1" applyFont="1" applyFill="1" applyBorder="1" applyAlignment="1" applyProtection="1">
      <alignment horizontal="center"/>
      <protection locked="0"/>
    </xf>
    <xf numFmtId="165" fontId="3" fillId="0" borderId="0" xfId="0" applyNumberFormat="1" applyFont="1" applyFill="1" applyAlignment="1">
      <alignment horizontal="left"/>
    </xf>
    <xf numFmtId="165" fontId="3" fillId="0" borderId="0" xfId="0" applyNumberFormat="1" applyFont="1" applyFill="1" applyAlignment="1" applyProtection="1">
      <alignment horizontal="left"/>
      <protection locked="0"/>
    </xf>
    <xf numFmtId="0" fontId="3" fillId="0" borderId="0" xfId="0" applyFont="1" applyFill="1" applyBorder="1" applyAlignment="1" applyProtection="1">
      <protection locked="0"/>
    </xf>
    <xf numFmtId="0" fontId="3" fillId="0" borderId="0" xfId="0" applyNumberFormat="1" applyFont="1" applyFill="1" applyAlignment="1"/>
    <xf numFmtId="0" fontId="3" fillId="0" borderId="0" xfId="0" applyNumberFormat="1" applyFont="1" applyFill="1" applyAlignment="1">
      <alignment horizontal="center"/>
    </xf>
    <xf numFmtId="165" fontId="3" fillId="0" borderId="0" xfId="0" applyNumberFormat="1" applyFont="1" applyFill="1" applyAlignment="1">
      <alignment horizontal="center"/>
    </xf>
    <xf numFmtId="0" fontId="3" fillId="0" borderId="0" xfId="0" applyFont="1" applyFill="1" applyBorder="1" applyAlignment="1"/>
    <xf numFmtId="0" fontId="3" fillId="0" borderId="21" xfId="0" applyNumberFormat="1" applyFont="1" applyFill="1" applyBorder="1" applyAlignment="1">
      <alignment horizontal="center"/>
    </xf>
    <xf numFmtId="0" fontId="3" fillId="0" borderId="21" xfId="0" quotePrefix="1" applyNumberFormat="1" applyFont="1" applyFill="1" applyBorder="1" applyAlignment="1">
      <alignment horizontal="center"/>
    </xf>
    <xf numFmtId="0" fontId="3" fillId="0" borderId="21" xfId="0" applyNumberFormat="1" applyFont="1" applyFill="1" applyBorder="1" applyAlignment="1" applyProtection="1">
      <alignment horizontal="center"/>
      <protection locked="0"/>
    </xf>
    <xf numFmtId="165" fontId="3" fillId="0" borderId="21" xfId="0" applyNumberFormat="1" applyFont="1" applyFill="1" applyBorder="1" applyAlignment="1">
      <alignment horizontal="center"/>
    </xf>
    <xf numFmtId="165" fontId="3" fillId="0" borderId="21" xfId="0" applyNumberFormat="1" applyFont="1" applyFill="1" applyBorder="1" applyAlignment="1">
      <alignment horizontal="left"/>
    </xf>
    <xf numFmtId="0" fontId="3" fillId="0" borderId="21" xfId="0" quotePrefix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>
      <alignment horizontal="center"/>
    </xf>
    <xf numFmtId="165" fontId="22" fillId="0" borderId="0" xfId="0" applyNumberFormat="1" applyFont="1" applyFill="1" applyAlignment="1">
      <alignment horizontal="left"/>
    </xf>
    <xf numFmtId="0" fontId="3" fillId="0" borderId="0" xfId="0" applyNumberFormat="1" applyFont="1" applyFill="1" applyAlignment="1">
      <alignment horizontal="left"/>
    </xf>
    <xf numFmtId="0" fontId="5" fillId="0" borderId="0" xfId="0" applyFont="1" applyFill="1" applyBorder="1" applyAlignment="1">
      <alignment horizontal="center"/>
    </xf>
    <xf numFmtId="0" fontId="1" fillId="0" borderId="0" xfId="0" applyNumberFormat="1" applyFont="1" applyFill="1" applyBorder="1" applyAlignment="1">
      <alignment horizontal="center"/>
    </xf>
    <xf numFmtId="0" fontId="3" fillId="0" borderId="0" xfId="0" applyNumberFormat="1" applyFont="1" applyFill="1" applyBorder="1" applyAlignment="1">
      <alignment horizontal="left"/>
    </xf>
    <xf numFmtId="170" fontId="1" fillId="0" borderId="0" xfId="0" quotePrefix="1" applyNumberFormat="1" applyFont="1" applyFill="1" applyBorder="1" applyAlignment="1">
      <alignment horizontal="left"/>
    </xf>
    <xf numFmtId="42" fontId="4" fillId="0" borderId="0" xfId="0" applyNumberFormat="1" applyFont="1" applyFill="1" applyBorder="1" applyAlignment="1"/>
    <xf numFmtId="42" fontId="4" fillId="0" borderId="0" xfId="0" applyNumberFormat="1" applyFont="1" applyFill="1" applyBorder="1"/>
    <xf numFmtId="167" fontId="1" fillId="0" borderId="0" xfId="0" applyNumberFormat="1" applyFont="1" applyFill="1" applyBorder="1" applyAlignment="1" applyProtection="1">
      <alignment horizontal="left"/>
      <protection locked="0"/>
    </xf>
    <xf numFmtId="0" fontId="1" fillId="0" borderId="0" xfId="0" applyFont="1" applyFill="1" applyBorder="1" applyAlignment="1">
      <alignment horizontal="left"/>
    </xf>
    <xf numFmtId="0" fontId="22" fillId="0" borderId="0" xfId="0" applyFont="1" applyFill="1" applyAlignment="1">
      <alignment horizontal="left"/>
    </xf>
    <xf numFmtId="169" fontId="1" fillId="0" borderId="0" xfId="0" applyNumberFormat="1" applyFont="1" applyFill="1" applyBorder="1"/>
    <xf numFmtId="0" fontId="3" fillId="0" borderId="0" xfId="0" applyNumberFormat="1" applyFont="1" applyFill="1" applyBorder="1" applyAlignment="1"/>
    <xf numFmtId="0" fontId="23" fillId="0" borderId="0" xfId="0" applyNumberFormat="1" applyFont="1" applyFill="1" applyAlignment="1"/>
    <xf numFmtId="0" fontId="4" fillId="0" borderId="0" xfId="0" applyFont="1" applyFill="1" applyBorder="1" applyAlignment="1">
      <alignment horizontal="center"/>
    </xf>
    <xf numFmtId="0" fontId="1" fillId="0" borderId="0" xfId="0" applyFont="1" applyFill="1" applyAlignment="1">
      <alignment horizontal="left" wrapText="1"/>
    </xf>
    <xf numFmtId="42" fontId="1" fillId="0" borderId="0" xfId="0" applyNumberFormat="1" applyFont="1" applyFill="1" applyAlignment="1">
      <alignment horizontal="left" wrapText="1"/>
    </xf>
    <xf numFmtId="0" fontId="1" fillId="0" borderId="0" xfId="0" applyNumberFormat="1" applyFont="1" applyFill="1" applyAlignment="1">
      <alignment horizontal="left"/>
    </xf>
    <xf numFmtId="0" fontId="22" fillId="0" borderId="0" xfId="0" applyNumberFormat="1" applyFont="1" applyFill="1" applyAlignment="1">
      <alignment horizontal="left"/>
    </xf>
    <xf numFmtId="165" fontId="1" fillId="0" borderId="0" xfId="0" applyNumberFormat="1" applyFont="1" applyFill="1" applyAlignment="1">
      <alignment horizontal="left" indent="2"/>
    </xf>
    <xf numFmtId="0" fontId="1" fillId="0" borderId="0" xfId="0" applyNumberFormat="1" applyFont="1" applyFill="1" applyBorder="1" applyAlignment="1">
      <alignment horizontal="left"/>
    </xf>
    <xf numFmtId="0" fontId="1" fillId="0" borderId="0" xfId="0" applyFont="1" applyFill="1" applyAlignment="1">
      <alignment horizontal="left"/>
    </xf>
    <xf numFmtId="0" fontId="23" fillId="0" borderId="0" xfId="0" applyFont="1" applyFill="1"/>
    <xf numFmtId="168" fontId="1" fillId="0" borderId="0" xfId="0" applyNumberFormat="1" applyFont="1" applyFill="1" applyAlignment="1">
      <alignment horizontal="left" wrapText="1"/>
    </xf>
    <xf numFmtId="168" fontId="21" fillId="0" borderId="19" xfId="0" applyNumberFormat="1" applyFont="1" applyFill="1" applyBorder="1"/>
    <xf numFmtId="41" fontId="1" fillId="0" borderId="0" xfId="0" quotePrefix="1" applyNumberFormat="1" applyFont="1" applyFill="1" applyBorder="1" applyAlignment="1">
      <alignment horizontal="left"/>
    </xf>
    <xf numFmtId="0" fontId="1" fillId="0" borderId="0" xfId="0" quotePrefix="1" applyNumberFormat="1" applyFont="1" applyFill="1" applyAlignment="1">
      <alignment horizontal="left"/>
    </xf>
    <xf numFmtId="0" fontId="1" fillId="0" borderId="0" xfId="0" applyFont="1" applyFill="1" applyBorder="1" applyAlignment="1" applyProtection="1">
      <alignment horizontal="left"/>
      <protection locked="0"/>
    </xf>
    <xf numFmtId="41" fontId="1" fillId="0" borderId="0" xfId="0" applyNumberFormat="1" applyFont="1" applyFill="1" applyBorder="1" applyAlignment="1" applyProtection="1">
      <alignment horizontal="left"/>
      <protection locked="0"/>
    </xf>
    <xf numFmtId="41" fontId="1" fillId="0" borderId="0" xfId="0" applyNumberFormat="1" applyFont="1" applyFill="1" applyBorder="1" applyAlignment="1" applyProtection="1">
      <protection locked="0"/>
    </xf>
    <xf numFmtId="37" fontId="1" fillId="0" borderId="0" xfId="0" applyNumberFormat="1" applyFont="1" applyFill="1" applyAlignment="1">
      <alignment horizontal="left" indent="1"/>
    </xf>
    <xf numFmtId="42" fontId="1" fillId="0" borderId="0" xfId="0" applyNumberFormat="1" applyFont="1" applyFill="1" applyAlignment="1"/>
    <xf numFmtId="0" fontId="1" fillId="0" borderId="0" xfId="0" applyFont="1" applyFill="1" applyAlignment="1">
      <alignment horizontal="left" indent="2"/>
    </xf>
    <xf numFmtId="179" fontId="1" fillId="0" borderId="0" xfId="0" applyNumberFormat="1" applyFont="1" applyFill="1" applyAlignment="1">
      <alignment horizontal="left"/>
    </xf>
    <xf numFmtId="0" fontId="1" fillId="0" borderId="0" xfId="0" applyFont="1" applyFill="1" applyAlignment="1" applyProtection="1">
      <alignment horizontal="left"/>
      <protection locked="0"/>
    </xf>
    <xf numFmtId="41" fontId="1" fillId="0" borderId="19" xfId="0" applyNumberFormat="1" applyFont="1" applyFill="1" applyBorder="1" applyAlignment="1"/>
    <xf numFmtId="41" fontId="1" fillId="0" borderId="19" xfId="0" applyNumberFormat="1" applyFont="1" applyFill="1" applyBorder="1" applyAlignment="1" applyProtection="1">
      <alignment horizontal="right"/>
      <protection locked="0"/>
    </xf>
    <xf numFmtId="42" fontId="1" fillId="0" borderId="0" xfId="0" applyNumberFormat="1" applyFont="1" applyFill="1" applyAlignment="1" applyProtection="1">
      <alignment horizontal="right"/>
      <protection locked="0"/>
    </xf>
    <xf numFmtId="0" fontId="1" fillId="0" borderId="0" xfId="0" applyNumberFormat="1" applyFont="1" applyFill="1"/>
    <xf numFmtId="165" fontId="1" fillId="0" borderId="0" xfId="0" applyNumberFormat="1" applyFont="1" applyFill="1" applyAlignment="1">
      <alignment horizontal="left"/>
    </xf>
    <xf numFmtId="41" fontId="1" fillId="0" borderId="20" xfId="0" quotePrefix="1" applyNumberFormat="1" applyFont="1" applyFill="1" applyBorder="1" applyAlignment="1">
      <alignment horizontal="left"/>
    </xf>
    <xf numFmtId="41" fontId="1" fillId="0" borderId="0" xfId="0" applyNumberFormat="1" applyFont="1" applyFill="1" applyAlignment="1"/>
    <xf numFmtId="41" fontId="1" fillId="0" borderId="0" xfId="0" applyNumberFormat="1" applyFont="1" applyFill="1" applyAlignment="1" applyProtection="1">
      <alignment horizontal="right"/>
      <protection locked="0"/>
    </xf>
    <xf numFmtId="172" fontId="1" fillId="0" borderId="0" xfId="0" applyNumberFormat="1" applyFont="1" applyFill="1" applyBorder="1" applyAlignment="1">
      <alignment horizontal="center"/>
    </xf>
    <xf numFmtId="41" fontId="1" fillId="0" borderId="0" xfId="0" applyNumberFormat="1" applyFont="1" applyFill="1" applyBorder="1" applyAlignment="1">
      <alignment horizontal="center"/>
    </xf>
    <xf numFmtId="0" fontId="1" fillId="0" borderId="0" xfId="0" applyNumberFormat="1" applyFont="1" applyFill="1" applyAlignment="1">
      <alignment horizontal="left" indent="2"/>
    </xf>
    <xf numFmtId="0" fontId="1" fillId="0" borderId="0" xfId="0" applyFont="1" applyFill="1" applyAlignment="1"/>
    <xf numFmtId="41" fontId="1" fillId="0" borderId="0" xfId="0" applyNumberFormat="1" applyFont="1" applyFill="1" applyBorder="1" applyAlignment="1"/>
    <xf numFmtId="41" fontId="1" fillId="0" borderId="19" xfId="0" quotePrefix="1" applyNumberFormat="1" applyFont="1" applyFill="1" applyBorder="1" applyAlignment="1">
      <alignment horizontal="left"/>
    </xf>
    <xf numFmtId="9" fontId="1" fillId="0" borderId="0" xfId="0" applyNumberFormat="1" applyFont="1" applyFill="1" applyAlignment="1">
      <alignment horizontal="center"/>
    </xf>
    <xf numFmtId="168" fontId="21" fillId="0" borderId="0" xfId="0" applyNumberFormat="1" applyFont="1" applyFill="1"/>
    <xf numFmtId="9" fontId="1" fillId="0" borderId="0" xfId="0" applyNumberFormat="1" applyFont="1" applyFill="1" applyAlignment="1"/>
    <xf numFmtId="49" fontId="1" fillId="0" borderId="0" xfId="0" applyNumberFormat="1" applyFont="1" applyFill="1" applyBorder="1" applyAlignment="1">
      <alignment horizontal="left"/>
    </xf>
    <xf numFmtId="42" fontId="1" fillId="0" borderId="3" xfId="0" applyNumberFormat="1" applyFont="1" applyFill="1" applyBorder="1" applyAlignment="1"/>
    <xf numFmtId="41" fontId="24" fillId="0" borderId="19" xfId="0" applyNumberFormat="1" applyFont="1" applyFill="1" applyBorder="1"/>
    <xf numFmtId="169" fontId="3" fillId="0" borderId="3" xfId="0" applyNumberFormat="1" applyFont="1" applyFill="1" applyBorder="1"/>
    <xf numFmtId="165" fontId="1" fillId="0" borderId="0" xfId="0" applyNumberFormat="1" applyFont="1" applyFill="1" applyAlignment="1">
      <alignment horizontal="left" indent="1"/>
    </xf>
    <xf numFmtId="42" fontId="1" fillId="0" borderId="0" xfId="0" applyNumberFormat="1" applyFont="1" applyFill="1" applyBorder="1" applyAlignment="1"/>
    <xf numFmtId="41" fontId="0" fillId="0" borderId="0" xfId="0" applyNumberFormat="1" applyFont="1" applyFill="1" applyAlignment="1"/>
    <xf numFmtId="168" fontId="4" fillId="0" borderId="19" xfId="0" applyNumberFormat="1" applyFont="1" applyFill="1" applyBorder="1" applyAlignment="1"/>
    <xf numFmtId="41" fontId="0" fillId="0" borderId="19" xfId="0" applyNumberFormat="1" applyFont="1" applyFill="1" applyBorder="1" applyAlignment="1"/>
    <xf numFmtId="168" fontId="4" fillId="0" borderId="0" xfId="0" applyNumberFormat="1" applyFont="1" applyFill="1" applyBorder="1" applyAlignment="1"/>
    <xf numFmtId="0" fontId="3" fillId="0" borderId="0" xfId="0" applyFont="1" applyFill="1" applyAlignment="1">
      <alignment horizontal="left"/>
    </xf>
    <xf numFmtId="41" fontId="0" fillId="0" borderId="19" xfId="0" applyNumberFormat="1" applyFont="1" applyFill="1" applyBorder="1"/>
    <xf numFmtId="41" fontId="25" fillId="0" borderId="19" xfId="0" applyNumberFormat="1" applyFont="1" applyFill="1" applyBorder="1" applyAlignment="1"/>
    <xf numFmtId="9" fontId="1" fillId="0" borderId="0" xfId="0" quotePrefix="1" applyNumberFormat="1" applyFont="1" applyFill="1" applyBorder="1" applyAlignment="1">
      <alignment horizontal="left"/>
    </xf>
    <xf numFmtId="0" fontId="1" fillId="0" borderId="19" xfId="0" applyNumberFormat="1" applyFont="1" applyFill="1" applyBorder="1" applyAlignment="1"/>
    <xf numFmtId="41" fontId="24" fillId="0" borderId="0" xfId="0" applyNumberFormat="1" applyFont="1" applyFill="1" applyBorder="1"/>
    <xf numFmtId="0" fontId="1" fillId="0" borderId="0" xfId="0" applyFont="1" applyFill="1" applyBorder="1" applyAlignment="1"/>
    <xf numFmtId="42" fontId="3" fillId="0" borderId="3" xfId="0" quotePrefix="1" applyNumberFormat="1" applyFont="1" applyFill="1" applyBorder="1" applyAlignment="1">
      <alignment horizontal="left"/>
    </xf>
    <xf numFmtId="9" fontId="1" fillId="0" borderId="0" xfId="0" quotePrefix="1" applyNumberFormat="1" applyFont="1" applyFill="1" applyBorder="1" applyAlignment="1">
      <alignment horizontal="center"/>
    </xf>
    <xf numFmtId="9" fontId="1" fillId="0" borderId="0" xfId="0" applyNumberFormat="1" applyFont="1" applyFill="1" applyBorder="1" applyAlignment="1"/>
    <xf numFmtId="41" fontId="1" fillId="0" borderId="21" xfId="0" applyNumberFormat="1" applyFont="1" applyFill="1" applyBorder="1" applyAlignment="1" applyProtection="1">
      <protection locked="0"/>
    </xf>
    <xf numFmtId="0" fontId="1" fillId="0" borderId="0" xfId="0" applyNumberFormat="1" applyFont="1" applyFill="1" applyBorder="1" applyAlignment="1"/>
    <xf numFmtId="165" fontId="1" fillId="0" borderId="0" xfId="0" applyNumberFormat="1" applyFont="1" applyFill="1" applyBorder="1" applyAlignment="1">
      <alignment horizontal="left"/>
    </xf>
    <xf numFmtId="43" fontId="1" fillId="0" borderId="0" xfId="0" applyNumberFormat="1" applyFont="1" applyFill="1" applyBorder="1" applyAlignment="1"/>
    <xf numFmtId="0" fontId="1" fillId="0" borderId="0" xfId="0" applyNumberFormat="1" applyFont="1" applyFill="1" applyAlignment="1">
      <alignment horizontal="left" indent="1"/>
    </xf>
    <xf numFmtId="168" fontId="1" fillId="0" borderId="19" xfId="0" applyNumberFormat="1" applyFont="1" applyFill="1" applyBorder="1" applyAlignment="1"/>
    <xf numFmtId="0" fontId="22" fillId="0" borderId="0" xfId="0" applyFont="1" applyFill="1" applyBorder="1" applyAlignment="1">
      <alignment horizontal="left"/>
    </xf>
    <xf numFmtId="168" fontId="1" fillId="0" borderId="0" xfId="0" applyNumberFormat="1" applyFont="1" applyFill="1" applyBorder="1" applyAlignment="1"/>
    <xf numFmtId="168" fontId="1" fillId="0" borderId="0" xfId="0" applyNumberFormat="1" applyFont="1" applyFill="1" applyBorder="1" applyAlignment="1">
      <alignment horizontal="centerContinuous"/>
    </xf>
    <xf numFmtId="9" fontId="1" fillId="0" borderId="0" xfId="0" applyNumberFormat="1" applyFont="1" applyFill="1" applyBorder="1" applyAlignment="1">
      <alignment horizontal="center"/>
    </xf>
    <xf numFmtId="169" fontId="3" fillId="0" borderId="3" xfId="0" applyNumberFormat="1" applyFont="1" applyFill="1" applyBorder="1" applyAlignment="1"/>
    <xf numFmtId="168" fontId="1" fillId="0" borderId="0" xfId="0" applyNumberFormat="1" applyFont="1" applyFill="1" applyBorder="1" applyAlignment="1">
      <alignment horizontal="left" wrapText="1"/>
    </xf>
    <xf numFmtId="168" fontId="1" fillId="0" borderId="19" xfId="0" applyNumberFormat="1" applyFont="1" applyFill="1" applyBorder="1" applyAlignment="1">
      <alignment horizontal="left" wrapText="1"/>
    </xf>
    <xf numFmtId="3" fontId="1" fillId="0" borderId="0" xfId="0" applyNumberFormat="1" applyFont="1" applyFill="1" applyBorder="1"/>
    <xf numFmtId="37" fontId="1" fillId="0" borderId="0" xfId="0" applyNumberFormat="1" applyFont="1" applyFill="1" applyBorder="1"/>
    <xf numFmtId="37" fontId="1" fillId="0" borderId="21" xfId="0" applyNumberFormat="1" applyFont="1" applyFill="1" applyBorder="1"/>
    <xf numFmtId="169" fontId="1" fillId="0" borderId="1" xfId="0" applyNumberFormat="1" applyFont="1" applyFill="1" applyBorder="1"/>
    <xf numFmtId="169" fontId="1" fillId="0" borderId="3" xfId="0" applyNumberFormat="1" applyFont="1" applyFill="1" applyBorder="1"/>
    <xf numFmtId="0" fontId="3" fillId="0" borderId="0" xfId="0" applyNumberFormat="1" applyFont="1" applyFill="1" applyBorder="1" applyAlignment="1">
      <alignment horizontal="right"/>
    </xf>
    <xf numFmtId="0" fontId="3" fillId="0" borderId="6" xfId="0" applyNumberFormat="1" applyFont="1" applyFill="1" applyBorder="1" applyAlignment="1">
      <alignment horizontal="right"/>
    </xf>
    <xf numFmtId="0" fontId="3" fillId="0" borderId="0" xfId="0" applyFont="1" applyFill="1" applyAlignment="1" applyProtection="1">
      <alignment horizontal="left"/>
      <protection locked="0"/>
    </xf>
    <xf numFmtId="0" fontId="3" fillId="0" borderId="0" xfId="0" applyNumberFormat="1" applyFont="1" applyFill="1" applyAlignment="1" applyProtection="1">
      <alignment horizontal="center"/>
      <protection locked="0"/>
    </xf>
    <xf numFmtId="0" fontId="3" fillId="0" borderId="0" xfId="0" applyNumberFormat="1" applyFont="1" applyFill="1" applyAlignment="1" applyProtection="1">
      <protection locked="0"/>
    </xf>
    <xf numFmtId="0" fontId="3" fillId="0" borderId="0" xfId="0" applyFont="1" applyFill="1" applyAlignment="1" applyProtection="1">
      <alignment horizontal="center"/>
      <protection locked="0"/>
    </xf>
    <xf numFmtId="0" fontId="3" fillId="0" borderId="0" xfId="0" applyFont="1" applyFill="1" applyAlignment="1"/>
    <xf numFmtId="0" fontId="3" fillId="0" borderId="0" xfId="0" applyNumberFormat="1" applyFont="1" applyFill="1" applyBorder="1" applyAlignment="1" applyProtection="1">
      <protection locked="0"/>
    </xf>
    <xf numFmtId="0" fontId="3" fillId="0" borderId="21" xfId="0" applyFont="1" applyFill="1" applyBorder="1" applyAlignment="1" applyProtection="1">
      <alignment horizontal="left" wrapText="1"/>
      <protection locked="0"/>
    </xf>
    <xf numFmtId="0" fontId="3" fillId="0" borderId="21" xfId="0" applyNumberFormat="1" applyFont="1" applyFill="1" applyBorder="1" applyAlignment="1"/>
    <xf numFmtId="0" fontId="3" fillId="0" borderId="21" xfId="0" applyFont="1" applyFill="1" applyBorder="1" applyAlignment="1" applyProtection="1">
      <protection locked="0"/>
    </xf>
    <xf numFmtId="0" fontId="3" fillId="0" borderId="21" xfId="0" applyNumberFormat="1" applyFont="1" applyFill="1" applyBorder="1" applyAlignment="1" applyProtection="1">
      <protection locked="0"/>
    </xf>
    <xf numFmtId="0" fontId="3" fillId="0" borderId="21" xfId="0" applyNumberFormat="1" applyFont="1" applyFill="1" applyBorder="1" applyAlignment="1">
      <alignment horizontal="left"/>
    </xf>
    <xf numFmtId="0" fontId="3" fillId="0" borderId="21" xfId="0" applyFont="1" applyFill="1" applyBorder="1" applyAlignment="1">
      <alignment horizontal="left"/>
    </xf>
    <xf numFmtId="0" fontId="3" fillId="0" borderId="0" xfId="0" applyNumberFormat="1" applyFont="1" applyFill="1" applyAlignment="1">
      <alignment horizontal="left" indent="1"/>
    </xf>
    <xf numFmtId="0" fontId="1" fillId="0" borderId="0" xfId="0" applyNumberFormat="1" applyFont="1" applyFill="1" applyAlignment="1">
      <alignment horizontal="fill"/>
    </xf>
    <xf numFmtId="17" fontId="1" fillId="0" borderId="0" xfId="0" applyNumberFormat="1" applyFont="1" applyFill="1" applyBorder="1" applyAlignment="1">
      <alignment horizontal="left"/>
    </xf>
    <xf numFmtId="0" fontId="26" fillId="0" borderId="0" xfId="0" applyNumberFormat="1" applyFont="1" applyFill="1" applyAlignment="1"/>
    <xf numFmtId="0" fontId="1" fillId="0" borderId="0" xfId="0" applyNumberFormat="1" applyFont="1" applyFill="1" applyAlignment="1" applyProtection="1">
      <alignment horizontal="center"/>
      <protection locked="0"/>
    </xf>
    <xf numFmtId="42" fontId="1" fillId="0" borderId="0" xfId="0" applyNumberFormat="1" applyFont="1" applyFill="1" applyBorder="1" applyAlignment="1">
      <alignment horizontal="right"/>
    </xf>
    <xf numFmtId="37" fontId="1" fillId="0" borderId="0" xfId="0" applyNumberFormat="1" applyFont="1" applyFill="1" applyAlignment="1">
      <alignment horizontal="left"/>
    </xf>
    <xf numFmtId="41" fontId="1" fillId="0" borderId="0" xfId="0" applyNumberFormat="1" applyFont="1" applyFill="1" applyAlignment="1">
      <alignment horizontal="center"/>
    </xf>
    <xf numFmtId="42" fontId="1" fillId="0" borderId="0" xfId="0" applyNumberFormat="1" applyFont="1" applyFill="1" applyAlignment="1">
      <alignment horizontal="right"/>
    </xf>
    <xf numFmtId="167" fontId="22" fillId="0" borderId="0" xfId="0" applyNumberFormat="1" applyFont="1" applyFill="1" applyBorder="1" applyAlignment="1"/>
    <xf numFmtId="0" fontId="1" fillId="0" borderId="0" xfId="0" applyFont="1" applyFill="1" applyBorder="1" applyAlignment="1">
      <alignment horizontal="center"/>
    </xf>
    <xf numFmtId="0" fontId="1" fillId="0" borderId="0" xfId="0" applyNumberFormat="1" applyFont="1" applyFill="1" applyBorder="1" applyAlignment="1" applyProtection="1">
      <protection locked="0"/>
    </xf>
    <xf numFmtId="42" fontId="1" fillId="0" borderId="0" xfId="0" applyNumberFormat="1" applyFont="1" applyFill="1" applyBorder="1" applyProtection="1">
      <protection locked="0"/>
    </xf>
    <xf numFmtId="42" fontId="1" fillId="0" borderId="0" xfId="0" applyNumberFormat="1" applyFont="1" applyFill="1" applyAlignment="1">
      <alignment horizontal="left"/>
    </xf>
    <xf numFmtId="42" fontId="1" fillId="0" borderId="0" xfId="0" applyNumberFormat="1" applyFont="1" applyFill="1" applyAlignment="1" applyProtection="1">
      <protection locked="0"/>
    </xf>
    <xf numFmtId="0" fontId="22" fillId="0" borderId="0" xfId="0" applyFont="1" applyFill="1"/>
    <xf numFmtId="0" fontId="3" fillId="0" borderId="0" xfId="0" applyFont="1" applyFill="1" applyBorder="1" applyAlignment="1">
      <alignment horizontal="left"/>
    </xf>
    <xf numFmtId="165" fontId="22" fillId="0" borderId="0" xfId="0" applyNumberFormat="1" applyFont="1" applyFill="1" applyAlignment="1"/>
    <xf numFmtId="0" fontId="22" fillId="0" borderId="0" xfId="0" applyNumberFormat="1" applyFont="1" applyFill="1" applyAlignment="1"/>
    <xf numFmtId="164" fontId="1" fillId="0" borderId="0" xfId="0" applyNumberFormat="1" applyFont="1" applyFill="1" applyAlignment="1" applyProtection="1">
      <alignment horizontal="left"/>
    </xf>
    <xf numFmtId="0" fontId="26" fillId="0" borderId="0" xfId="0" applyNumberFormat="1" applyFont="1" applyFill="1" applyAlignment="1">
      <alignment horizontal="left"/>
    </xf>
    <xf numFmtId="0" fontId="26" fillId="0" borderId="0" xfId="0" applyNumberFormat="1" applyFont="1" applyFill="1" applyAlignment="1">
      <alignment horizontal="center"/>
    </xf>
    <xf numFmtId="0" fontId="3" fillId="0" borderId="0" xfId="0" applyNumberFormat="1" applyFont="1" applyFill="1" applyBorder="1" applyAlignment="1">
      <alignment horizontal="centerContinuous" vertical="center" wrapText="1"/>
    </xf>
    <xf numFmtId="41" fontId="1" fillId="0" borderId="0" xfId="0" applyNumberFormat="1" applyFont="1" applyFill="1" applyBorder="1" applyAlignment="1">
      <alignment horizontal="centerContinuous" vertical="center" wrapText="1"/>
    </xf>
    <xf numFmtId="169" fontId="1" fillId="0" borderId="0" xfId="0" applyNumberFormat="1" applyFont="1" applyFill="1" applyBorder="1" applyAlignment="1"/>
    <xf numFmtId="10" fontId="22" fillId="0" borderId="0" xfId="0" applyNumberFormat="1" applyFont="1" applyFill="1" applyAlignment="1">
      <alignment horizontal="left"/>
    </xf>
    <xf numFmtId="10" fontId="22" fillId="0" borderId="0" xfId="0" applyNumberFormat="1" applyFont="1" applyFill="1" applyAlignment="1">
      <alignment horizontal="center"/>
    </xf>
    <xf numFmtId="37" fontId="1" fillId="0" borderId="0" xfId="0" applyNumberFormat="1" applyFont="1" applyFill="1" applyBorder="1" applyAlignment="1"/>
    <xf numFmtId="41" fontId="1" fillId="0" borderId="0" xfId="0" applyNumberFormat="1" applyFont="1" applyFill="1" applyAlignment="1">
      <alignment horizontal="left"/>
    </xf>
    <xf numFmtId="0" fontId="1" fillId="0" borderId="0" xfId="0" quotePrefix="1" applyFont="1" applyFill="1" applyBorder="1" applyAlignment="1">
      <alignment horizontal="left"/>
    </xf>
    <xf numFmtId="41" fontId="1" fillId="0" borderId="21" xfId="0" applyNumberFormat="1" applyFont="1" applyFill="1" applyBorder="1" applyAlignment="1">
      <alignment horizontal="center"/>
    </xf>
    <xf numFmtId="171" fontId="1" fillId="0" borderId="0" xfId="0" applyNumberFormat="1" applyFont="1" applyFill="1" applyAlignment="1">
      <alignment horizontal="right"/>
    </xf>
    <xf numFmtId="0" fontId="1" fillId="0" borderId="0" xfId="0" applyFont="1" applyFill="1" applyBorder="1" applyAlignment="1">
      <alignment horizontal="left" indent="1"/>
    </xf>
    <xf numFmtId="0" fontId="1" fillId="0" borderId="19" xfId="0" applyNumberFormat="1" applyFont="1" applyFill="1" applyBorder="1" applyAlignment="1">
      <alignment horizontal="left"/>
    </xf>
    <xf numFmtId="167" fontId="1" fillId="0" borderId="19" xfId="0" applyNumberFormat="1" applyFont="1" applyFill="1" applyBorder="1" applyAlignment="1" applyProtection="1">
      <alignment horizontal="right"/>
      <protection locked="0"/>
    </xf>
    <xf numFmtId="42" fontId="1" fillId="0" borderId="19" xfId="0" applyNumberFormat="1" applyFont="1" applyFill="1" applyBorder="1" applyProtection="1">
      <protection locked="0"/>
    </xf>
    <xf numFmtId="41" fontId="1" fillId="0" borderId="0" xfId="0" applyNumberFormat="1" applyFont="1" applyFill="1" applyAlignment="1" applyProtection="1">
      <protection locked="0"/>
    </xf>
    <xf numFmtId="168" fontId="1" fillId="0" borderId="0" xfId="0" applyNumberFormat="1" applyFont="1" applyFill="1" applyAlignment="1" applyProtection="1">
      <protection locked="0"/>
    </xf>
    <xf numFmtId="165" fontId="4" fillId="0" borderId="0" xfId="0" applyNumberFormat="1" applyFont="1" applyFill="1" applyAlignment="1">
      <alignment horizontal="left"/>
    </xf>
    <xf numFmtId="10" fontId="1" fillId="0" borderId="0" xfId="0" applyNumberFormat="1" applyFont="1" applyFill="1" applyAlignment="1">
      <alignment horizontal="left"/>
    </xf>
    <xf numFmtId="41" fontId="1" fillId="0" borderId="0" xfId="0" applyNumberFormat="1" applyFont="1" applyFill="1" applyBorder="1" applyAlignment="1">
      <alignment horizontal="right"/>
    </xf>
    <xf numFmtId="37" fontId="1" fillId="0" borderId="0" xfId="0" applyNumberFormat="1" applyFont="1" applyFill="1" applyAlignment="1">
      <alignment horizontal="right"/>
    </xf>
    <xf numFmtId="177" fontId="1" fillId="0" borderId="0" xfId="0" applyNumberFormat="1" applyFont="1" applyFill="1" applyAlignment="1">
      <alignment horizontal="right"/>
    </xf>
    <xf numFmtId="42" fontId="3" fillId="0" borderId="3" xfId="0" applyNumberFormat="1" applyFont="1" applyFill="1" applyBorder="1" applyAlignment="1"/>
    <xf numFmtId="41" fontId="1" fillId="0" borderId="19" xfId="0" applyNumberFormat="1" applyFont="1" applyFill="1" applyBorder="1" applyAlignment="1">
      <alignment horizontal="center"/>
    </xf>
    <xf numFmtId="170" fontId="1" fillId="0" borderId="19" xfId="0" quotePrefix="1" applyNumberFormat="1" applyFont="1" applyFill="1" applyBorder="1" applyAlignment="1">
      <alignment horizontal="left"/>
    </xf>
    <xf numFmtId="41" fontId="1" fillId="0" borderId="19" xfId="0" applyNumberFormat="1" applyFont="1" applyFill="1" applyBorder="1" applyProtection="1">
      <protection locked="0"/>
    </xf>
    <xf numFmtId="41" fontId="1" fillId="0" borderId="0" xfId="0" applyNumberFormat="1" applyFont="1" applyFill="1" applyBorder="1" applyProtection="1">
      <protection locked="0"/>
    </xf>
    <xf numFmtId="42" fontId="1" fillId="0" borderId="19" xfId="0" applyNumberFormat="1" applyFont="1" applyFill="1" applyBorder="1" applyAlignment="1" applyProtection="1">
      <protection locked="0"/>
    </xf>
    <xf numFmtId="169" fontId="1" fillId="0" borderId="19" xfId="0" applyNumberFormat="1" applyFont="1" applyFill="1" applyBorder="1" applyAlignment="1" applyProtection="1">
      <protection locked="0"/>
    </xf>
    <xf numFmtId="168" fontId="1" fillId="0" borderId="0" xfId="0" applyNumberFormat="1" applyFont="1" applyFill="1" applyAlignment="1">
      <alignment horizontal="right"/>
    </xf>
    <xf numFmtId="168" fontId="1" fillId="0" borderId="0" xfId="0" applyNumberFormat="1" applyFont="1" applyFill="1" applyAlignment="1" applyProtection="1">
      <alignment horizontal="right"/>
      <protection locked="0"/>
    </xf>
    <xf numFmtId="10" fontId="1" fillId="0" borderId="0" xfId="0" applyNumberFormat="1" applyFont="1" applyFill="1" applyAlignment="1">
      <alignment horizontal="center"/>
    </xf>
    <xf numFmtId="168" fontId="1" fillId="0" borderId="21" xfId="0" applyNumberFormat="1" applyFont="1" applyFill="1" applyBorder="1" applyProtection="1">
      <protection locked="0"/>
    </xf>
    <xf numFmtId="42" fontId="1" fillId="0" borderId="21" xfId="0" applyNumberFormat="1" applyFont="1" applyFill="1" applyBorder="1" applyAlignment="1"/>
    <xf numFmtId="165" fontId="4" fillId="0" borderId="0" xfId="0" applyNumberFormat="1" applyFont="1" applyFill="1" applyAlignment="1"/>
    <xf numFmtId="41" fontId="1" fillId="0" borderId="19" xfId="0" applyNumberFormat="1" applyFont="1" applyFill="1" applyBorder="1" applyAlignment="1">
      <alignment horizontal="left" indent="1"/>
    </xf>
    <xf numFmtId="41" fontId="4" fillId="0" borderId="0" xfId="0" applyNumberFormat="1" applyFont="1" applyFill="1" applyBorder="1"/>
    <xf numFmtId="37" fontId="1" fillId="0" borderId="19" xfId="0" applyNumberFormat="1" applyFont="1" applyFill="1" applyBorder="1" applyAlignment="1">
      <alignment horizontal="right"/>
    </xf>
    <xf numFmtId="168" fontId="1" fillId="0" borderId="0" xfId="0" quotePrefix="1" applyNumberFormat="1" applyFont="1" applyFill="1" applyBorder="1" applyAlignment="1">
      <alignment horizontal="left"/>
    </xf>
    <xf numFmtId="168" fontId="1" fillId="0" borderId="0" xfId="0" applyNumberFormat="1" applyFont="1" applyFill="1" applyBorder="1" applyProtection="1">
      <protection locked="0"/>
    </xf>
    <xf numFmtId="167" fontId="1" fillId="0" borderId="0" xfId="0" applyNumberFormat="1" applyFont="1" applyFill="1" applyAlignment="1">
      <alignment horizontal="center"/>
    </xf>
    <xf numFmtId="168" fontId="1" fillId="0" borderId="0" xfId="0" applyNumberFormat="1" applyFont="1" applyFill="1" applyAlignment="1"/>
    <xf numFmtId="41" fontId="21" fillId="0" borderId="0" xfId="0" applyNumberFormat="1" applyFont="1" applyFill="1"/>
    <xf numFmtId="168" fontId="1" fillId="0" borderId="21" xfId="0" applyNumberFormat="1" applyFont="1" applyFill="1" applyBorder="1" applyAlignment="1"/>
    <xf numFmtId="37" fontId="1" fillId="0" borderId="0" xfId="0" applyNumberFormat="1" applyFont="1" applyFill="1"/>
    <xf numFmtId="168" fontId="1" fillId="0" borderId="0" xfId="0" applyNumberFormat="1" applyFont="1" applyFill="1" applyBorder="1" applyAlignment="1" applyProtection="1">
      <protection locked="0"/>
    </xf>
    <xf numFmtId="10" fontId="1" fillId="0" borderId="0" xfId="0" applyNumberFormat="1" applyFont="1" applyFill="1" applyBorder="1" applyAlignment="1">
      <alignment horizontal="center"/>
    </xf>
    <xf numFmtId="15" fontId="1" fillId="0" borderId="0" xfId="0" applyNumberFormat="1" applyFont="1" applyFill="1" applyAlignment="1"/>
    <xf numFmtId="165" fontId="4" fillId="0" borderId="0" xfId="0" applyNumberFormat="1" applyFont="1" applyFill="1" applyBorder="1" applyAlignment="1">
      <alignment horizontal="left"/>
    </xf>
    <xf numFmtId="178" fontId="1" fillId="0" borderId="0" xfId="0" applyNumberFormat="1" applyFont="1" applyFill="1" applyAlignment="1">
      <alignment horizontal="right"/>
    </xf>
    <xf numFmtId="41" fontId="1" fillId="0" borderId="0" xfId="0" applyNumberFormat="1" applyFont="1" applyFill="1" applyAlignment="1">
      <alignment horizontal="right"/>
    </xf>
    <xf numFmtId="170" fontId="1" fillId="0" borderId="0" xfId="0" applyNumberFormat="1" applyFont="1" applyFill="1" applyBorder="1" applyAlignment="1">
      <alignment horizontal="left"/>
    </xf>
    <xf numFmtId="9" fontId="1" fillId="0" borderId="0" xfId="0" applyNumberFormat="1" applyFont="1" applyFill="1" applyBorder="1" applyAlignment="1">
      <alignment horizontal="left"/>
    </xf>
    <xf numFmtId="41" fontId="1" fillId="0" borderId="0" xfId="0" applyNumberFormat="1" applyFont="1" applyFill="1" applyBorder="1" applyAlignment="1" applyProtection="1">
      <alignment horizontal="right"/>
      <protection locked="0"/>
    </xf>
    <xf numFmtId="165" fontId="1" fillId="0" borderId="0" xfId="0" quotePrefix="1" applyNumberFormat="1" applyFont="1" applyFill="1" applyAlignment="1">
      <alignment horizontal="left"/>
    </xf>
    <xf numFmtId="0" fontId="1" fillId="0" borderId="0" xfId="0" quotePrefix="1" applyFont="1" applyFill="1" applyAlignment="1">
      <alignment horizontal="left"/>
    </xf>
    <xf numFmtId="41" fontId="1" fillId="0" borderId="21" xfId="0" applyNumberFormat="1" applyFont="1" applyFill="1" applyBorder="1" applyAlignment="1"/>
    <xf numFmtId="42" fontId="1" fillId="0" borderId="3" xfId="0" applyNumberFormat="1" applyFont="1" applyFill="1" applyBorder="1" applyAlignment="1" applyProtection="1">
      <alignment horizontal="right"/>
      <protection locked="0"/>
    </xf>
    <xf numFmtId="168" fontId="22" fillId="0" borderId="0" xfId="0" applyNumberFormat="1" applyFont="1" applyFill="1" applyAlignment="1"/>
    <xf numFmtId="168" fontId="1" fillId="0" borderId="0" xfId="0" applyNumberFormat="1" applyFont="1" applyFill="1" applyBorder="1" applyAlignment="1">
      <alignment horizontal="left" indent="1"/>
    </xf>
    <xf numFmtId="0" fontId="3" fillId="0" borderId="0" xfId="0" quotePrefix="1" applyNumberFormat="1" applyFont="1" applyFill="1" applyAlignment="1"/>
    <xf numFmtId="165" fontId="1" fillId="0" borderId="0" xfId="0" applyNumberFormat="1" applyFont="1" applyFill="1" applyBorder="1" applyAlignment="1"/>
    <xf numFmtId="0" fontId="1" fillId="0" borderId="0" xfId="0" applyNumberFormat="1" applyFont="1" applyFill="1" applyAlignment="1">
      <alignment vertical="center"/>
    </xf>
    <xf numFmtId="3" fontId="1" fillId="0" borderId="0" xfId="0" applyNumberFormat="1" applyFont="1" applyFill="1" applyBorder="1" applyAlignment="1"/>
    <xf numFmtId="42" fontId="1" fillId="0" borderId="3" xfId="0" applyNumberFormat="1" applyFont="1" applyFill="1" applyBorder="1" applyAlignment="1">
      <alignment horizontal="right"/>
    </xf>
    <xf numFmtId="168" fontId="1" fillId="0" borderId="21" xfId="0" applyNumberFormat="1" applyFont="1" applyFill="1" applyBorder="1" applyAlignment="1" applyProtection="1">
      <alignment horizontal="right"/>
      <protection locked="0"/>
    </xf>
    <xf numFmtId="37" fontId="1" fillId="0" borderId="19" xfId="0" applyNumberFormat="1" applyFont="1" applyFill="1" applyBorder="1"/>
    <xf numFmtId="41" fontId="1" fillId="0" borderId="19" xfId="0" applyNumberFormat="1" applyFont="1" applyFill="1" applyBorder="1" applyAlignment="1">
      <alignment horizontal="right"/>
    </xf>
    <xf numFmtId="168" fontId="1" fillId="0" borderId="0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left" vertical="top"/>
    </xf>
    <xf numFmtId="0" fontId="1" fillId="0" borderId="0" xfId="0" applyFont="1" applyFill="1" applyAlignment="1">
      <alignment horizontal="center" vertical="top"/>
    </xf>
    <xf numFmtId="168" fontId="1" fillId="0" borderId="0" xfId="0" applyNumberFormat="1" applyFont="1" applyFill="1" applyBorder="1" applyAlignment="1">
      <alignment horizontal="left"/>
    </xf>
    <xf numFmtId="41" fontId="25" fillId="0" borderId="0" xfId="0" applyNumberFormat="1" applyFont="1" applyFill="1" applyBorder="1" applyAlignment="1"/>
    <xf numFmtId="15" fontId="1" fillId="0" borderId="0" xfId="0" applyNumberFormat="1" applyFont="1" applyFill="1" applyBorder="1"/>
    <xf numFmtId="0" fontId="1" fillId="0" borderId="0" xfId="0" quotePrefix="1" applyNumberFormat="1" applyFont="1" applyFill="1" applyAlignment="1">
      <alignment horizontal="left" indent="2"/>
    </xf>
    <xf numFmtId="37" fontId="1" fillId="0" borderId="0" xfId="0" applyNumberFormat="1" applyFont="1" applyFill="1" applyBorder="1" applyAlignment="1">
      <alignment horizontal="right"/>
    </xf>
    <xf numFmtId="0" fontId="1" fillId="0" borderId="0" xfId="0" applyFont="1" applyFill="1" applyBorder="1" applyAlignment="1">
      <alignment horizontal="left" vertical="center"/>
    </xf>
    <xf numFmtId="173" fontId="1" fillId="0" borderId="0" xfId="0" applyNumberFormat="1" applyFont="1" applyFill="1" applyAlignment="1"/>
    <xf numFmtId="42" fontId="1" fillId="0" borderId="1" xfId="0" applyNumberFormat="1" applyFont="1" applyFill="1" applyBorder="1" applyAlignment="1"/>
    <xf numFmtId="165" fontId="1" fillId="0" borderId="21" xfId="0" applyNumberFormat="1" applyFont="1" applyFill="1" applyBorder="1" applyAlignment="1">
      <alignment horizontal="left"/>
    </xf>
    <xf numFmtId="41" fontId="1" fillId="0" borderId="0" xfId="0" applyNumberFormat="1" applyFont="1" applyFill="1" applyBorder="1" applyAlignment="1">
      <alignment horizontal="fill"/>
    </xf>
    <xf numFmtId="0" fontId="25" fillId="0" borderId="0" xfId="0" applyNumberFormat="1" applyFont="1" applyFill="1" applyAlignment="1">
      <alignment horizontal="left" indent="2"/>
    </xf>
    <xf numFmtId="169" fontId="1" fillId="0" borderId="3" xfId="0" applyNumberFormat="1" applyFont="1" applyFill="1" applyBorder="1" applyAlignment="1"/>
    <xf numFmtId="1" fontId="1" fillId="0" borderId="0" xfId="0" quotePrefix="1" applyNumberFormat="1" applyFont="1" applyFill="1" applyBorder="1" applyAlignment="1">
      <alignment horizontal="left"/>
    </xf>
    <xf numFmtId="0" fontId="1" fillId="0" borderId="0" xfId="0" applyFont="1" applyFill="1" applyAlignment="1">
      <alignment horizontal="left" vertical="center"/>
    </xf>
    <xf numFmtId="169" fontId="1" fillId="0" borderId="0" xfId="0" applyNumberFormat="1" applyFont="1" applyFill="1" applyAlignment="1" applyProtection="1">
      <alignment vertical="center"/>
      <protection locked="0"/>
    </xf>
    <xf numFmtId="42" fontId="25" fillId="0" borderId="0" xfId="0" applyNumberFormat="1" applyFont="1" applyFill="1" applyBorder="1" applyAlignment="1"/>
    <xf numFmtId="41" fontId="5" fillId="0" borderId="0" xfId="0" applyNumberFormat="1" applyFont="1" applyFill="1"/>
    <xf numFmtId="1" fontId="1" fillId="0" borderId="0" xfId="0" applyNumberFormat="1" applyFont="1" applyFill="1" applyBorder="1" applyAlignment="1"/>
    <xf numFmtId="42" fontId="1" fillId="0" borderId="3" xfId="0" applyNumberFormat="1" applyFont="1" applyFill="1" applyBorder="1" applyProtection="1">
      <protection locked="0"/>
    </xf>
    <xf numFmtId="167" fontId="1" fillId="0" borderId="0" xfId="0" applyNumberFormat="1" applyFont="1" applyFill="1" applyProtection="1">
      <protection locked="0"/>
    </xf>
    <xf numFmtId="41" fontId="4" fillId="0" borderId="19" xfId="0" applyNumberFormat="1" applyFont="1" applyFill="1" applyBorder="1"/>
    <xf numFmtId="41" fontId="1" fillId="0" borderId="20" xfId="0" applyNumberFormat="1" applyFont="1" applyFill="1" applyBorder="1" applyAlignment="1">
      <alignment horizontal="right"/>
    </xf>
    <xf numFmtId="41" fontId="21" fillId="0" borderId="0" xfId="0" applyNumberFormat="1" applyFont="1" applyFill="1" applyBorder="1" applyAlignment="1"/>
    <xf numFmtId="37" fontId="1" fillId="0" borderId="0" xfId="0" applyNumberFormat="1" applyFont="1" applyFill="1" applyAlignment="1"/>
    <xf numFmtId="0" fontId="1" fillId="0" borderId="0" xfId="0" applyFont="1" applyFill="1" applyAlignment="1">
      <alignment horizontal="right" indent="1"/>
    </xf>
    <xf numFmtId="10" fontId="1" fillId="0" borderId="0" xfId="0" applyNumberFormat="1" applyFont="1" applyFill="1" applyAlignment="1">
      <alignment horizontal="right"/>
    </xf>
    <xf numFmtId="174" fontId="1" fillId="0" borderId="0" xfId="0" applyNumberFormat="1" applyFont="1" applyFill="1" applyAlignment="1"/>
    <xf numFmtId="37" fontId="1" fillId="0" borderId="21" xfId="0" applyNumberFormat="1" applyFont="1" applyFill="1" applyBorder="1" applyAlignment="1"/>
    <xf numFmtId="165" fontId="1" fillId="0" borderId="0" xfId="0" quotePrefix="1" applyNumberFormat="1" applyFont="1" applyFill="1" applyBorder="1" applyAlignment="1">
      <alignment horizontal="left"/>
    </xf>
    <xf numFmtId="0" fontId="1" fillId="0" borderId="0" xfId="0" quotePrefix="1" applyNumberFormat="1" applyFont="1" applyFill="1" applyBorder="1" applyAlignment="1">
      <alignment horizontal="left"/>
    </xf>
    <xf numFmtId="171" fontId="1" fillId="0" borderId="0" xfId="0" applyNumberFormat="1" applyFont="1" applyFill="1" applyAlignment="1"/>
    <xf numFmtId="37" fontId="1" fillId="0" borderId="19" xfId="0" applyNumberFormat="1" applyFont="1" applyFill="1" applyBorder="1" applyAlignment="1"/>
    <xf numFmtId="43" fontId="1" fillId="0" borderId="21" xfId="0" applyNumberFormat="1" applyFont="1" applyFill="1" applyBorder="1" applyAlignment="1"/>
    <xf numFmtId="43" fontId="1" fillId="0" borderId="0" xfId="0" applyNumberFormat="1" applyFont="1" applyFill="1" applyAlignment="1"/>
    <xf numFmtId="176" fontId="3" fillId="0" borderId="0" xfId="0" applyNumberFormat="1" applyFont="1" applyFill="1" applyAlignment="1" applyProtection="1">
      <alignment horizontal="center"/>
      <protection locked="0"/>
    </xf>
    <xf numFmtId="0" fontId="3" fillId="0" borderId="14" xfId="0" applyNumberFormat="1" applyFont="1" applyFill="1" applyBorder="1" applyAlignment="1">
      <alignment horizontal="center"/>
    </xf>
    <xf numFmtId="175" fontId="3" fillId="0" borderId="0" xfId="0" applyNumberFormat="1" applyFont="1" applyFill="1" applyAlignment="1" applyProtection="1">
      <alignment horizontal="center"/>
      <protection locked="0"/>
    </xf>
    <xf numFmtId="0" fontId="3" fillId="0" borderId="15" xfId="0" applyNumberFormat="1" applyFont="1" applyFill="1" applyBorder="1" applyAlignment="1">
      <alignment horizontal="center"/>
    </xf>
    <xf numFmtId="0" fontId="3" fillId="0" borderId="0" xfId="0" applyNumberFormat="1" applyFont="1" applyFill="1" applyAlignment="1">
      <alignment horizontal="center" wrapText="1"/>
    </xf>
    <xf numFmtId="0" fontId="3" fillId="0" borderId="0" xfId="0" quotePrefix="1" applyNumberFormat="1" applyFont="1" applyFill="1" applyAlignment="1">
      <alignment horizontal="center"/>
    </xf>
    <xf numFmtId="42" fontId="1" fillId="0" borderId="15" xfId="0" applyNumberFormat="1" applyFont="1" applyFill="1" applyBorder="1" applyAlignment="1" applyProtection="1">
      <protection locked="0"/>
    </xf>
    <xf numFmtId="41" fontId="1" fillId="0" borderId="15" xfId="0" applyNumberFormat="1" applyFont="1" applyFill="1" applyBorder="1" applyAlignment="1" applyProtection="1">
      <protection locked="0"/>
    </xf>
    <xf numFmtId="166" fontId="1" fillId="0" borderId="0" xfId="0" applyNumberFormat="1" applyFont="1" applyFill="1" applyAlignment="1"/>
    <xf numFmtId="10" fontId="1" fillId="0" borderId="0" xfId="0" applyNumberFormat="1" applyFont="1" applyFill="1" applyAlignment="1" applyProtection="1">
      <protection locked="0"/>
    </xf>
    <xf numFmtId="10" fontId="1" fillId="0" borderId="15" xfId="0" applyNumberFormat="1" applyFont="1" applyFill="1" applyBorder="1" applyAlignment="1" applyProtection="1">
      <protection locked="0"/>
    </xf>
    <xf numFmtId="10" fontId="6" fillId="0" borderId="0" xfId="0" applyNumberFormat="1" applyFont="1" applyFill="1"/>
    <xf numFmtId="10" fontId="6" fillId="0" borderId="2" xfId="0" applyNumberFormat="1" applyFont="1" applyFill="1" applyBorder="1"/>
    <xf numFmtId="10" fontId="6" fillId="0" borderId="15" xfId="0" applyNumberFormat="1" applyFont="1" applyFill="1" applyBorder="1"/>
    <xf numFmtId="0" fontId="6" fillId="0" borderId="0" xfId="0" applyFont="1" applyFill="1"/>
    <xf numFmtId="0" fontId="6" fillId="0" borderId="15" xfId="0" applyFont="1" applyFill="1" applyBorder="1"/>
    <xf numFmtId="42" fontId="3" fillId="0" borderId="0" xfId="0" applyNumberFormat="1" applyFont="1" applyFill="1" applyBorder="1" applyAlignment="1"/>
    <xf numFmtId="0" fontId="1" fillId="0" borderId="34" xfId="0" applyFont="1" applyFill="1" applyBorder="1" applyAlignment="1">
      <alignment horizontal="left"/>
    </xf>
    <xf numFmtId="166" fontId="1" fillId="0" borderId="19" xfId="0" applyNumberFormat="1" applyFont="1" applyFill="1" applyBorder="1" applyAlignment="1" applyProtection="1">
      <protection locked="0"/>
    </xf>
    <xf numFmtId="0" fontId="1" fillId="0" borderId="35" xfId="0" applyNumberFormat="1" applyFont="1" applyFill="1" applyBorder="1" applyAlignment="1"/>
    <xf numFmtId="0" fontId="1" fillId="0" borderId="34" xfId="0" applyNumberFormat="1" applyFont="1" applyFill="1" applyBorder="1" applyAlignment="1">
      <alignment horizontal="left"/>
    </xf>
    <xf numFmtId="41" fontId="1" fillId="0" borderId="19" xfId="0" applyNumberFormat="1" applyFont="1" applyFill="1" applyBorder="1" applyAlignment="1">
      <alignment vertical="center"/>
    </xf>
    <xf numFmtId="41" fontId="1" fillId="0" borderId="0" xfId="0" applyNumberFormat="1" applyFont="1" applyFill="1" applyBorder="1" applyAlignment="1">
      <alignment vertical="center"/>
    </xf>
    <xf numFmtId="164" fontId="1" fillId="0" borderId="0" xfId="0" applyNumberFormat="1" applyFont="1" applyFill="1" applyBorder="1" applyAlignment="1" applyProtection="1">
      <alignment horizontal="left"/>
    </xf>
    <xf numFmtId="0" fontId="27" fillId="0" borderId="0" xfId="0" applyNumberFormat="1" applyFont="1" applyFill="1" applyAlignment="1">
      <alignment horizontal="left"/>
    </xf>
    <xf numFmtId="165" fontId="28" fillId="0" borderId="0" xfId="0" applyNumberFormat="1" applyFont="1" applyFill="1" applyAlignment="1">
      <alignment horizontal="left" wrapText="1"/>
    </xf>
    <xf numFmtId="165" fontId="27" fillId="0" borderId="0" xfId="0" applyNumberFormat="1" applyFont="1" applyFill="1" applyAlignment="1">
      <alignment horizontal="left"/>
    </xf>
    <xf numFmtId="0" fontId="29" fillId="0" borderId="0" xfId="0" applyNumberFormat="1" applyFont="1" applyFill="1" applyAlignment="1"/>
    <xf numFmtId="0" fontId="30" fillId="0" borderId="0" xfId="0" applyNumberFormat="1" applyFont="1" applyFill="1" applyAlignment="1">
      <alignment horizontal="left"/>
    </xf>
    <xf numFmtId="0" fontId="31" fillId="0" borderId="29" xfId="0" applyNumberFormat="1" applyFont="1" applyFill="1" applyBorder="1" applyAlignment="1">
      <alignment horizontal="centerContinuous"/>
    </xf>
    <xf numFmtId="0" fontId="31" fillId="0" borderId="23" xfId="0" applyNumberFormat="1" applyFont="1" applyFill="1" applyBorder="1" applyAlignment="1">
      <alignment horizontal="centerContinuous"/>
    </xf>
    <xf numFmtId="165" fontId="32" fillId="0" borderId="23" xfId="0" applyNumberFormat="1" applyFont="1" applyFill="1" applyBorder="1" applyAlignment="1">
      <alignment horizontal="centerContinuous" wrapText="1"/>
    </xf>
    <xf numFmtId="165" fontId="32" fillId="0" borderId="28" xfId="0" applyNumberFormat="1" applyFont="1" applyFill="1" applyBorder="1" applyAlignment="1">
      <alignment horizontal="centerContinuous" wrapText="1"/>
    </xf>
    <xf numFmtId="0" fontId="33" fillId="0" borderId="0" xfId="0" applyNumberFormat="1" applyFont="1" applyFill="1" applyAlignment="1"/>
    <xf numFmtId="0" fontId="8" fillId="0" borderId="0" xfId="0" applyNumberFormat="1" applyFont="1" applyFill="1" applyAlignment="1">
      <alignment horizontal="center"/>
    </xf>
    <xf numFmtId="0" fontId="8" fillId="0" borderId="0" xfId="0" quotePrefix="1" applyNumberFormat="1" applyFont="1" applyFill="1" applyAlignment="1">
      <alignment horizontal="left"/>
    </xf>
    <xf numFmtId="0" fontId="34" fillId="0" borderId="5" xfId="0" applyNumberFormat="1" applyFont="1" applyFill="1" applyBorder="1" applyAlignment="1">
      <alignment horizontal="center"/>
    </xf>
    <xf numFmtId="0" fontId="35" fillId="0" borderId="6" xfId="0" applyNumberFormat="1" applyFont="1" applyFill="1" applyBorder="1" applyAlignment="1"/>
    <xf numFmtId="0" fontId="35" fillId="0" borderId="7" xfId="0" applyNumberFormat="1" applyFont="1" applyFill="1" applyBorder="1" applyAlignment="1"/>
    <xf numFmtId="0" fontId="0" fillId="0" borderId="6" xfId="0" applyNumberFormat="1" applyFont="1" applyFill="1" applyBorder="1" applyAlignment="1"/>
    <xf numFmtId="0" fontId="0" fillId="0" borderId="7" xfId="0" applyNumberFormat="1" applyFont="1" applyFill="1" applyBorder="1" applyAlignment="1"/>
    <xf numFmtId="0" fontId="8" fillId="0" borderId="0" xfId="0" applyNumberFormat="1" applyFont="1" applyFill="1" applyAlignment="1">
      <alignment horizontal="left"/>
    </xf>
    <xf numFmtId="169" fontId="8" fillId="0" borderId="8" xfId="0" applyNumberFormat="1" applyFont="1" applyFill="1" applyBorder="1" applyAlignment="1"/>
    <xf numFmtId="165" fontId="28" fillId="0" borderId="0" xfId="0" applyNumberFormat="1" applyFont="1" applyFill="1" applyBorder="1" applyAlignment="1">
      <alignment horizontal="left" wrapText="1"/>
    </xf>
    <xf numFmtId="165" fontId="28" fillId="0" borderId="9" xfId="0" applyNumberFormat="1" applyFont="1" applyFill="1" applyBorder="1" applyAlignment="1">
      <alignment horizontal="left" wrapText="1"/>
    </xf>
    <xf numFmtId="168" fontId="8" fillId="0" borderId="8" xfId="0" applyNumberFormat="1" applyFont="1" applyFill="1" applyBorder="1" applyAlignment="1">
      <alignment horizontal="right"/>
    </xf>
    <xf numFmtId="0" fontId="8" fillId="0" borderId="0" xfId="0" applyNumberFormat="1" applyFont="1" applyFill="1" applyBorder="1" applyAlignment="1"/>
    <xf numFmtId="0" fontId="8" fillId="0" borderId="9" xfId="0" applyNumberFormat="1" applyFont="1" applyFill="1" applyBorder="1" applyAlignment="1"/>
    <xf numFmtId="0" fontId="35" fillId="0" borderId="10" xfId="0" applyNumberFormat="1" applyFont="1" applyFill="1" applyBorder="1" applyAlignment="1">
      <alignment horizontal="right"/>
    </xf>
    <xf numFmtId="173" fontId="35" fillId="0" borderId="26" xfId="0" applyNumberFormat="1" applyFont="1" applyFill="1" applyBorder="1" applyAlignment="1"/>
    <xf numFmtId="173" fontId="35" fillId="0" borderId="27" xfId="0" applyNumberFormat="1" applyFont="1" applyFill="1" applyBorder="1" applyAlignment="1"/>
    <xf numFmtId="0" fontId="8" fillId="0" borderId="0" xfId="0" applyNumberFormat="1" applyFont="1" applyFill="1" applyAlignment="1"/>
    <xf numFmtId="169" fontId="8" fillId="0" borderId="25" xfId="0" applyNumberFormat="1" applyFont="1" applyFill="1" applyBorder="1" applyAlignment="1">
      <alignment horizontal="right"/>
    </xf>
    <xf numFmtId="0" fontId="34" fillId="0" borderId="0" xfId="0" applyNumberFormat="1" applyFont="1" applyFill="1" applyBorder="1" applyAlignment="1">
      <alignment horizontal="center"/>
    </xf>
    <xf numFmtId="0" fontId="36" fillId="0" borderId="0" xfId="0" applyNumberFormat="1" applyFont="1" applyFill="1" applyBorder="1" applyAlignment="1">
      <alignment horizontal="center"/>
    </xf>
    <xf numFmtId="0" fontId="8" fillId="0" borderId="0" xfId="0" applyNumberFormat="1" applyFont="1" applyFill="1" applyBorder="1" applyAlignment="1">
      <alignment horizontal="center"/>
    </xf>
    <xf numFmtId="0" fontId="35" fillId="0" borderId="0" xfId="0" applyNumberFormat="1" applyFont="1" applyFill="1" applyBorder="1" applyAlignment="1">
      <alignment horizontal="center"/>
    </xf>
    <xf numFmtId="10" fontId="8" fillId="0" borderId="8" xfId="0" applyNumberFormat="1" applyFont="1" applyFill="1" applyBorder="1" applyAlignment="1"/>
    <xf numFmtId="43" fontId="8" fillId="0" borderId="0" xfId="0" applyNumberFormat="1" applyFont="1" applyFill="1" applyBorder="1" applyAlignment="1">
      <alignment horizontal="right"/>
    </xf>
    <xf numFmtId="0" fontId="34" fillId="0" borderId="9" xfId="0" applyNumberFormat="1" applyFont="1" applyFill="1" applyBorder="1" applyAlignment="1">
      <alignment horizontal="center"/>
    </xf>
    <xf numFmtId="169" fontId="8" fillId="0" borderId="0" xfId="0" applyNumberFormat="1" applyFont="1" applyFill="1" applyAlignment="1">
      <alignment horizontal="left"/>
    </xf>
    <xf numFmtId="0" fontId="8" fillId="0" borderId="8" xfId="0" applyNumberFormat="1" applyFont="1" applyFill="1" applyBorder="1" applyAlignment="1"/>
    <xf numFmtId="43" fontId="8" fillId="0" borderId="0" xfId="0" applyNumberFormat="1" applyFont="1" applyFill="1" applyAlignment="1">
      <alignment horizontal="left"/>
    </xf>
    <xf numFmtId="165" fontId="1" fillId="0" borderId="21" xfId="0" applyNumberFormat="1" applyFont="1" applyFill="1" applyBorder="1" applyAlignment="1"/>
    <xf numFmtId="182" fontId="8" fillId="0" borderId="0" xfId="0" applyNumberFormat="1" applyFont="1" applyFill="1" applyBorder="1" applyAlignment="1"/>
    <xf numFmtId="168" fontId="8" fillId="0" borderId="0" xfId="0" applyNumberFormat="1" applyFont="1" applyFill="1" applyBorder="1" applyAlignment="1">
      <alignment horizontal="center"/>
    </xf>
    <xf numFmtId="169" fontId="8" fillId="0" borderId="0" xfId="0" applyNumberFormat="1" applyFont="1" applyFill="1" applyBorder="1" applyAlignment="1"/>
    <xf numFmtId="169" fontId="8" fillId="0" borderId="9" xfId="0" applyNumberFormat="1" applyFont="1" applyFill="1" applyBorder="1" applyAlignment="1"/>
    <xf numFmtId="168" fontId="0" fillId="0" borderId="0" xfId="0" applyNumberFormat="1" applyFont="1" applyFill="1" applyAlignment="1"/>
    <xf numFmtId="168" fontId="8" fillId="0" borderId="9" xfId="0" applyNumberFormat="1" applyFont="1" applyFill="1" applyBorder="1" applyAlignment="1"/>
    <xf numFmtId="42" fontId="21" fillId="0" borderId="1" xfId="0" applyNumberFormat="1" applyFont="1" applyFill="1" applyBorder="1"/>
    <xf numFmtId="182" fontId="1" fillId="0" borderId="3" xfId="0" applyNumberFormat="1" applyFont="1" applyFill="1" applyBorder="1" applyAlignment="1"/>
    <xf numFmtId="168" fontId="8" fillId="0" borderId="8" xfId="0" applyNumberFormat="1" applyFont="1" applyFill="1" applyBorder="1" applyAlignment="1"/>
    <xf numFmtId="168" fontId="8" fillId="0" borderId="0" xfId="0" applyNumberFormat="1" applyFont="1" applyFill="1" applyBorder="1" applyAlignment="1"/>
    <xf numFmtId="0" fontId="8" fillId="0" borderId="0" xfId="0" applyNumberFormat="1" applyFont="1" applyFill="1" applyBorder="1" applyAlignment="1">
      <alignment horizontal="left" indent="1"/>
    </xf>
    <xf numFmtId="41" fontId="21" fillId="0" borderId="19" xfId="0" applyNumberFormat="1" applyFont="1" applyFill="1" applyBorder="1"/>
    <xf numFmtId="0" fontId="8" fillId="0" borderId="0" xfId="0" applyNumberFormat="1" applyFont="1" applyFill="1" applyAlignment="1">
      <alignment horizontal="center" vertical="top"/>
    </xf>
    <xf numFmtId="0" fontId="8" fillId="0" borderId="0" xfId="0" applyNumberFormat="1" applyFont="1" applyFill="1" applyAlignment="1">
      <alignment vertical="top"/>
    </xf>
    <xf numFmtId="0" fontId="8" fillId="0" borderId="0" xfId="0" quotePrefix="1" applyNumberFormat="1" applyFont="1" applyFill="1" applyBorder="1" applyAlignment="1">
      <alignment horizontal="left"/>
    </xf>
    <xf numFmtId="0" fontId="35" fillId="0" borderId="8" xfId="0" applyNumberFormat="1" applyFont="1" applyFill="1" applyBorder="1" applyAlignment="1"/>
    <xf numFmtId="0" fontId="35" fillId="0" borderId="0" xfId="0" applyNumberFormat="1" applyFont="1" applyFill="1" applyBorder="1" applyAlignment="1"/>
    <xf numFmtId="0" fontId="35" fillId="0" borderId="9" xfId="0" applyNumberFormat="1" applyFont="1" applyFill="1" applyBorder="1" applyAlignment="1"/>
    <xf numFmtId="0" fontId="8" fillId="0" borderId="0" xfId="0" applyNumberFormat="1" applyFont="1" applyFill="1" applyAlignment="1">
      <alignment horizontal="left" vertical="center" indent="1"/>
    </xf>
    <xf numFmtId="169" fontId="8" fillId="0" borderId="25" xfId="0" applyNumberFormat="1" applyFont="1" applyFill="1" applyBorder="1" applyAlignment="1"/>
    <xf numFmtId="182" fontId="8" fillId="0" borderId="19" xfId="0" applyNumberFormat="1" applyFont="1" applyFill="1" applyBorder="1" applyAlignment="1"/>
    <xf numFmtId="169" fontId="8" fillId="0" borderId="19" xfId="0" applyNumberFormat="1" applyFont="1" applyFill="1" applyBorder="1" applyAlignment="1"/>
    <xf numFmtId="169" fontId="8" fillId="0" borderId="24" xfId="0" applyNumberFormat="1" applyFont="1" applyFill="1" applyBorder="1" applyAlignment="1"/>
    <xf numFmtId="183" fontId="8" fillId="0" borderId="8" xfId="0" applyNumberFormat="1" applyFont="1" applyFill="1" applyBorder="1" applyAlignment="1">
      <alignment horizontal="right"/>
    </xf>
    <xf numFmtId="183" fontId="8" fillId="0" borderId="0" xfId="0" applyNumberFormat="1" applyFont="1" applyFill="1" applyBorder="1" applyAlignment="1">
      <alignment horizontal="right"/>
    </xf>
    <xf numFmtId="183" fontId="8" fillId="0" borderId="0" xfId="0" applyNumberFormat="1" applyFont="1" applyFill="1" applyBorder="1" applyAlignment="1"/>
    <xf numFmtId="183" fontId="8" fillId="0" borderId="9" xfId="0" applyNumberFormat="1" applyFont="1" applyFill="1" applyBorder="1" applyAlignment="1"/>
    <xf numFmtId="168" fontId="8" fillId="0" borderId="0" xfId="0" applyNumberFormat="1" applyFont="1" applyFill="1" applyBorder="1"/>
    <xf numFmtId="0" fontId="8" fillId="0" borderId="0" xfId="0" applyNumberFormat="1" applyFont="1" applyFill="1" applyBorder="1" applyAlignment="1">
      <alignment horizontal="center" wrapText="1"/>
    </xf>
    <xf numFmtId="0" fontId="8" fillId="0" borderId="9" xfId="0" applyNumberFormat="1" applyFont="1" applyFill="1" applyBorder="1" applyAlignment="1">
      <alignment horizontal="center" wrapText="1"/>
    </xf>
    <xf numFmtId="169" fontId="35" fillId="0" borderId="8" xfId="0" applyNumberFormat="1" applyFont="1" applyFill="1" applyBorder="1" applyAlignment="1"/>
    <xf numFmtId="182" fontId="8" fillId="0" borderId="9" xfId="0" applyNumberFormat="1" applyFont="1" applyFill="1" applyBorder="1" applyAlignment="1"/>
    <xf numFmtId="0" fontId="35" fillId="0" borderId="11" xfId="0" applyNumberFormat="1" applyFont="1" applyFill="1" applyBorder="1" applyAlignment="1"/>
    <xf numFmtId="182" fontId="8" fillId="0" borderId="12" xfId="0" applyNumberFormat="1" applyFont="1" applyFill="1" applyBorder="1" applyAlignment="1"/>
    <xf numFmtId="182" fontId="8" fillId="0" borderId="13" xfId="0" applyNumberFormat="1" applyFont="1" applyFill="1" applyBorder="1" applyAlignment="1"/>
    <xf numFmtId="0" fontId="35" fillId="0" borderId="0" xfId="0" applyNumberFormat="1" applyFont="1" applyFill="1" applyAlignment="1"/>
    <xf numFmtId="42" fontId="3" fillId="0" borderId="0" xfId="0" applyNumberFormat="1" applyFont="1" applyFill="1"/>
    <xf numFmtId="41" fontId="3" fillId="0" borderId="0" xfId="0" applyNumberFormat="1" applyFont="1" applyFill="1"/>
    <xf numFmtId="41" fontId="3" fillId="0" borderId="0" xfId="0" applyNumberFormat="1" applyFont="1" applyFill="1" applyBorder="1" applyAlignment="1"/>
    <xf numFmtId="0" fontId="8" fillId="0" borderId="9" xfId="0" applyNumberFormat="1" applyFont="1" applyFill="1" applyBorder="1" applyAlignment="1">
      <alignment horizontal="center"/>
    </xf>
    <xf numFmtId="168" fontId="8" fillId="0" borderId="9" xfId="0" applyNumberFormat="1" applyFont="1" applyFill="1" applyBorder="1" applyAlignment="1">
      <alignment horizontal="center"/>
    </xf>
    <xf numFmtId="0" fontId="8" fillId="0" borderId="8" xfId="0" applyNumberFormat="1" applyFont="1" applyFill="1" applyBorder="1" applyAlignment="1">
      <alignment horizontal="center"/>
    </xf>
    <xf numFmtId="165" fontId="1" fillId="0" borderId="3" xfId="0" applyNumberFormat="1" applyFont="1" applyFill="1" applyBorder="1" applyAlignment="1" applyProtection="1">
      <protection locked="0"/>
    </xf>
    <xf numFmtId="168" fontId="5" fillId="0" borderId="19" xfId="0" applyNumberFormat="1" applyFont="1" applyFill="1" applyBorder="1"/>
    <xf numFmtId="168" fontId="5" fillId="0" borderId="0" xfId="0" applyNumberFormat="1" applyFont="1" applyFill="1"/>
    <xf numFmtId="0" fontId="3" fillId="0" borderId="0" xfId="0" applyFont="1" applyFill="1" applyBorder="1"/>
    <xf numFmtId="0" fontId="1" fillId="0" borderId="14" xfId="0" applyFont="1" applyFill="1" applyBorder="1"/>
    <xf numFmtId="42" fontId="1" fillId="0" borderId="18" xfId="0" applyNumberFormat="1" applyFont="1" applyFill="1" applyBorder="1" applyAlignment="1" applyProtection="1">
      <protection locked="0"/>
    </xf>
    <xf numFmtId="188" fontId="1" fillId="0" borderId="15" xfId="0" applyNumberFormat="1" applyFont="1" applyFill="1" applyBorder="1" applyAlignment="1" applyProtection="1">
      <protection locked="0"/>
    </xf>
    <xf numFmtId="42" fontId="1" fillId="0" borderId="16" xfId="0" applyNumberFormat="1" applyFont="1" applyFill="1" applyBorder="1"/>
    <xf numFmtId="42" fontId="3" fillId="0" borderId="0" xfId="0" applyNumberFormat="1" applyFont="1" applyFill="1" applyAlignment="1">
      <alignment horizontal="right"/>
    </xf>
    <xf numFmtId="42" fontId="3" fillId="0" borderId="20" xfId="0" applyNumberFormat="1" applyFont="1" applyFill="1" applyBorder="1"/>
    <xf numFmtId="41" fontId="5" fillId="0" borderId="19" xfId="0" applyNumberFormat="1" applyFont="1" applyFill="1" applyBorder="1"/>
    <xf numFmtId="43" fontId="5" fillId="0" borderId="19" xfId="0" applyNumberFormat="1" applyFont="1" applyFill="1" applyBorder="1"/>
    <xf numFmtId="167" fontId="3" fillId="0" borderId="0" xfId="0" applyNumberFormat="1" applyFont="1" applyFill="1" applyAlignment="1">
      <alignment horizontal="center"/>
    </xf>
    <xf numFmtId="168" fontId="5" fillId="0" borderId="3" xfId="0" applyNumberFormat="1" applyFont="1" applyFill="1" applyBorder="1"/>
    <xf numFmtId="41" fontId="3" fillId="0" borderId="21" xfId="0" applyNumberFormat="1" applyFont="1" applyFill="1" applyBorder="1" applyAlignment="1" applyProtection="1">
      <protection locked="0"/>
    </xf>
    <xf numFmtId="0" fontId="1" fillId="0" borderId="0" xfId="0" quotePrefix="1" applyNumberFormat="1" applyFont="1" applyFill="1" applyBorder="1" applyAlignment="1" applyProtection="1">
      <alignment horizontal="center"/>
      <protection locked="0"/>
    </xf>
    <xf numFmtId="0" fontId="1" fillId="0" borderId="0" xfId="0" applyNumberFormat="1" applyFont="1" applyFill="1" applyBorder="1" applyAlignment="1" applyProtection="1">
      <alignment horizontal="center"/>
      <protection locked="0"/>
    </xf>
    <xf numFmtId="41" fontId="37" fillId="0" borderId="19" xfId="0" applyNumberFormat="1" applyFont="1" applyFill="1" applyBorder="1" applyAlignment="1"/>
    <xf numFmtId="0" fontId="1" fillId="0" borderId="0" xfId="0" applyNumberFormat="1" applyFont="1" applyFill="1" applyAlignment="1">
      <alignment horizontal="centerContinuous"/>
    </xf>
    <xf numFmtId="42" fontId="1" fillId="0" borderId="3" xfId="0" quotePrefix="1" applyNumberFormat="1" applyFont="1" applyFill="1" applyBorder="1" applyAlignment="1">
      <alignment horizontal="left"/>
    </xf>
    <xf numFmtId="167" fontId="4" fillId="0" borderId="0" xfId="0" applyNumberFormat="1" applyFont="1" applyFill="1" applyBorder="1" applyAlignment="1" applyProtection="1">
      <alignment horizontal="left"/>
      <protection locked="0"/>
    </xf>
    <xf numFmtId="169" fontId="4" fillId="0" borderId="0" xfId="0" applyNumberFormat="1" applyFont="1" applyFill="1"/>
    <xf numFmtId="0" fontId="4" fillId="0" borderId="0" xfId="0" applyNumberFormat="1" applyFont="1" applyFill="1" applyAlignment="1">
      <alignment horizontal="left"/>
    </xf>
    <xf numFmtId="9" fontId="4" fillId="0" borderId="0" xfId="0" applyNumberFormat="1" applyFont="1" applyFill="1" applyAlignment="1"/>
    <xf numFmtId="168" fontId="4" fillId="0" borderId="1" xfId="0" applyNumberFormat="1" applyFont="1" applyFill="1" applyBorder="1"/>
    <xf numFmtId="169" fontId="4" fillId="0" borderId="1" xfId="0" applyNumberFormat="1" applyFont="1" applyFill="1" applyBorder="1"/>
    <xf numFmtId="169" fontId="4" fillId="0" borderId="0" xfId="0" applyNumberFormat="1" applyFont="1" applyFill="1" applyBorder="1"/>
    <xf numFmtId="42" fontId="1" fillId="0" borderId="0" xfId="0" applyNumberFormat="1" applyFont="1" applyFill="1" applyAlignment="1">
      <alignment horizontal="center" vertical="center"/>
    </xf>
    <xf numFmtId="42" fontId="1" fillId="0" borderId="21" xfId="0" applyNumberFormat="1" applyFont="1" applyFill="1" applyBorder="1" applyAlignment="1">
      <alignment horizontal="center" vertical="center"/>
    </xf>
    <xf numFmtId="42" fontId="1" fillId="0" borderId="0" xfId="0" applyNumberFormat="1" applyFont="1" applyFill="1" applyBorder="1" applyAlignment="1">
      <alignment horizontal="center" vertical="center"/>
    </xf>
    <xf numFmtId="41" fontId="1" fillId="0" borderId="0" xfId="0" applyNumberFormat="1" applyFont="1" applyFill="1" applyBorder="1" applyAlignment="1">
      <alignment horizontal="center" vertical="center"/>
    </xf>
    <xf numFmtId="41" fontId="1" fillId="0" borderId="2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16">
    <dxf>
      <font>
        <b/>
        <i val="0"/>
      </font>
      <numFmt numFmtId="32" formatCode="_(&quot;$&quot;* #,##0_);_(&quot;$&quot;* \(#,##0\);_(&quot;$&quot;* &quot;-&quot;_);_(@_)"/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numFmt numFmtId="32" formatCode="_(&quot;$&quot;* #,##0_);_(&quot;$&quot;* \(#,##0\);_(&quot;$&quot;* &quot;-&quot;_);_(@_)"/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numFmt numFmtId="32" formatCode="_(&quot;$&quot;* #,##0_);_(&quot;$&quot;* \(#,##0\);_(&quot;$&quot;* &quot;-&quot;_);_(@_)"/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numFmt numFmtId="32" formatCode="_(&quot;$&quot;* #,##0_);_(&quot;$&quot;* \(#,##0\);_(&quot;$&quot;* &quot;-&quot;_);_(@_)"/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numFmt numFmtId="32" formatCode="_(&quot;$&quot;* #,##0_);_(&quot;$&quot;* \(#,##0\);_(&quot;$&quot;* &quot;-&quot;_);_(@_)"/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numFmt numFmtId="32" formatCode="_(&quot;$&quot;* #,##0_);_(&quot;$&quot;* \(#,##0\);_(&quot;$&quot;* &quot;-&quot;_);_(@_)"/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numFmt numFmtId="32" formatCode="_(&quot;$&quot;* #,##0_);_(&quot;$&quot;* \(#,##0\);_(&quot;$&quot;* &quot;-&quot;_);_(@_)"/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numFmt numFmtId="32" formatCode="_(&quot;$&quot;* #,##0_);_(&quot;$&quot;* \(#,##0\);_(&quot;$&quot;* &quot;-&quot;_);_(@_)"/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numFmt numFmtId="32" formatCode="_(&quot;$&quot;* #,##0_);_(&quot;$&quot;* \(#,##0\);_(&quot;$&quot;* &quot;-&quot;_);_(@_)"/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numFmt numFmtId="32" formatCode="_(&quot;$&quot;* #,##0_);_(&quot;$&quot;* \(#,##0\);_(&quot;$&quot;* &quot;-&quot;_);_(@_)"/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numFmt numFmtId="32" formatCode="_(&quot;$&quot;* #,##0_);_(&quot;$&quot;* \(#,##0\);_(&quot;$&quot;* &quot;-&quot;_);_(@_)"/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numFmt numFmtId="32" formatCode="_(&quot;$&quot;* #,##0_);_(&quot;$&quot;* \(#,##0\);_(&quot;$&quot;* &quot;-&quot;_);_(@_)"/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numFmt numFmtId="32" formatCode="_(&quot;$&quot;* #,##0_);_(&quot;$&quot;* \(#,##0\);_(&quot;$&quot;* &quot;-&quot;_);_(@_)"/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numFmt numFmtId="32" formatCode="_(&quot;$&quot;* #,##0_);_(&quot;$&quot;* \(#,##0\);_(&quot;$&quot;* &quot;-&quot;_);_(@_)"/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numFmt numFmtId="32" formatCode="_(&quot;$&quot;* #,##0_);_(&quot;$&quot;* \(#,##0\);_(&quot;$&quot;* &quot;-&quot;_);_(@_)"/>
      <fill>
        <patternFill>
          <bgColor rgb="FF92D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colors>
    <mruColors>
      <color rgb="FF6600FF"/>
      <color rgb="FFFFCCCC"/>
      <color rgb="FFCCFF99"/>
      <color rgb="FFFFFF00"/>
      <color rgb="FFFFFF99"/>
      <color rgb="FFFF00FF"/>
      <color rgb="FFCCFF33"/>
      <color rgb="FF0000FF"/>
      <color rgb="FF009900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Relationship Id="rId22" Type="http://schemas.openxmlformats.org/officeDocument/2006/relationships/customXml" Target="../customXml/item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%23%202019%20GRC/Original%20Filing/Dirty%20Workpapers%202019%20GRC/NEW-PSE-WP-SEF-4.00E-ELECTRIC-MODEL-19GRC-06-2019%20-%20Copy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%23%202019%20GRC/Attrition%20Change/190529-30-PSE-WP-SEF-4.00E-ELECTRIC-MODEL-19GRC-09-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llfwd"/>
      <sheetName val="COC, Def, ConvF"/>
      <sheetName val="Summary"/>
      <sheetName val="Detailed Summary"/>
      <sheetName val="COC-Restating"/>
      <sheetName val="Common Adj"/>
      <sheetName val="Electric Adj"/>
      <sheetName val="Named Ranges"/>
      <sheetName val="ETR GRC vs CBR TBPI 100%"/>
      <sheetName val="ETR GRC vs CBR"/>
      <sheetName val="ETR"/>
      <sheetName val="Check ETR"/>
      <sheetName val="Dirty only==&gt;"/>
      <sheetName val="FIT Plug Temp Adj"/>
      <sheetName val="Verify"/>
      <sheetName val="ARAM"/>
      <sheetName val="Matri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3">
          <cell r="C3">
            <v>0.21</v>
          </cell>
        </row>
        <row r="4">
          <cell r="C4" t="str">
            <v>2019 GENERAL RATE CASE</v>
          </cell>
        </row>
        <row r="5">
          <cell r="C5" t="str">
            <v>12 MONTHS ENDED DECEMBER 31, 2018</v>
          </cell>
        </row>
        <row r="6">
          <cell r="C6" t="str">
            <v>UE-__________</v>
          </cell>
        </row>
        <row r="8">
          <cell r="C8" t="str">
            <v>PUGET SOUND ENERGY - ELECTRIC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pacts"/>
      <sheetName val="COC, Def, ConvF"/>
      <sheetName val="Summary"/>
      <sheetName val="Detailed Summary"/>
      <sheetName val="COC-Restating"/>
      <sheetName val="Common Adj"/>
      <sheetName val="Electric Adj"/>
      <sheetName val="Power Cost Bridge to A-1"/>
      <sheetName val="Named Ranges 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3">
          <cell r="C3">
            <v>0.21</v>
          </cell>
        </row>
        <row r="4">
          <cell r="C4" t="str">
            <v>2019 GENERAL RATE CASE</v>
          </cell>
        </row>
        <row r="5">
          <cell r="C5" t="str">
            <v>12 MONTHS ENDED DECEMBER 31, 2018</v>
          </cell>
        </row>
        <row r="6">
          <cell r="C6" t="str">
            <v>UE-__________</v>
          </cell>
        </row>
        <row r="8">
          <cell r="C8" t="str">
            <v>PUGET SOUND ENERGY - ELECTRIC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9"/>
  <sheetViews>
    <sheetView tabSelected="1" zoomScale="85" zoomScaleNormal="85" workbookViewId="0">
      <pane xSplit="1" ySplit="9" topLeftCell="B10" activePane="bottomRight" state="frozenSplit"/>
      <selection activeCell="I38" sqref="I38"/>
      <selection pane="topRight" activeCell="I38" sqref="I38"/>
      <selection pane="bottomLeft" activeCell="I38" sqref="I38"/>
      <selection pane="bottomRight" activeCell="O3" sqref="O3"/>
    </sheetView>
  </sheetViews>
  <sheetFormatPr defaultRowHeight="14.4" outlineLevelRow="1" x14ac:dyDescent="0.3"/>
  <cols>
    <col min="1" max="1" width="71.33203125" bestFit="1" customWidth="1"/>
    <col min="2" max="2" width="9.109375" customWidth="1"/>
    <col min="3" max="3" width="13.44140625" customWidth="1"/>
    <col min="4" max="4" width="12.33203125" bestFit="1" customWidth="1"/>
    <col min="5" max="5" width="13.5546875" bestFit="1" customWidth="1"/>
    <col min="6" max="6" width="15" bestFit="1" customWidth="1"/>
    <col min="7" max="7" width="16" bestFit="1" customWidth="1"/>
    <col min="8" max="8" width="13.6640625" bestFit="1" customWidth="1"/>
    <col min="9" max="9" width="14.109375" bestFit="1" customWidth="1"/>
    <col min="10" max="10" width="13.44140625" bestFit="1" customWidth="1"/>
    <col min="11" max="11" width="9.33203125" bestFit="1" customWidth="1"/>
    <col min="12" max="12" width="12.5546875" bestFit="1" customWidth="1"/>
    <col min="13" max="13" width="11.5546875" bestFit="1" customWidth="1"/>
    <col min="14" max="14" width="13.44140625" bestFit="1" customWidth="1"/>
    <col min="15" max="15" width="11.5546875" bestFit="1" customWidth="1"/>
    <col min="16" max="16" width="13.44140625" bestFit="1" customWidth="1"/>
    <col min="17" max="17" width="12.33203125" bestFit="1" customWidth="1"/>
    <col min="18" max="18" width="13.5546875" bestFit="1" customWidth="1"/>
    <col min="19" max="19" width="12.5546875" bestFit="1" customWidth="1"/>
    <col min="20" max="20" width="13.44140625" bestFit="1" customWidth="1"/>
    <col min="21" max="21" width="15.33203125" bestFit="1" customWidth="1"/>
    <col min="33" max="33" width="13.6640625" bestFit="1" customWidth="1"/>
    <col min="34" max="34" width="14.109375" bestFit="1" customWidth="1"/>
  </cols>
  <sheetData>
    <row r="1" spans="1:11" ht="18" x14ac:dyDescent="0.35">
      <c r="A1" s="118" t="s">
        <v>759</v>
      </c>
      <c r="D1" s="202">
        <f>+'COC, Def, ConvF'!H14</f>
        <v>7.4399999999999994E-2</v>
      </c>
      <c r="E1" t="s">
        <v>938</v>
      </c>
    </row>
    <row r="2" spans="1:11" x14ac:dyDescent="0.3">
      <c r="D2" s="44">
        <v>7.4800000000000005E-2</v>
      </c>
      <c r="H2" s="105">
        <f>+H5-1</f>
        <v>1.4578070656687148E-2</v>
      </c>
    </row>
    <row r="3" spans="1:11" ht="18" x14ac:dyDescent="0.35">
      <c r="A3" s="118"/>
      <c r="D3" s="44">
        <v>7.6200000000000004E-2</v>
      </c>
      <c r="H3" s="105"/>
    </row>
    <row r="4" spans="1:11" ht="18" x14ac:dyDescent="0.35">
      <c r="A4" s="118"/>
      <c r="D4" s="202">
        <f>+'COC, Def, ConvF'!H12</f>
        <v>2.8299999999999999E-2</v>
      </c>
      <c r="E4" t="s">
        <v>939</v>
      </c>
      <c r="H4" s="94">
        <v>1.0141644325272383</v>
      </c>
    </row>
    <row r="5" spans="1:11" x14ac:dyDescent="0.3">
      <c r="D5" s="44">
        <v>2.87E-2</v>
      </c>
      <c r="H5" s="94">
        <v>1.0145780706566871</v>
      </c>
      <c r="I5" s="104"/>
    </row>
    <row r="6" spans="1:11" x14ac:dyDescent="0.3">
      <c r="D6" s="97">
        <f>+'COC, Def, ConvF'!L19</f>
        <v>0.21</v>
      </c>
      <c r="F6" s="44">
        <v>2.2058288256380676E-2</v>
      </c>
      <c r="G6" s="43">
        <f>D7</f>
        <v>0.75138099999999997</v>
      </c>
      <c r="H6" s="89" t="s">
        <v>735</v>
      </c>
      <c r="I6" s="116"/>
    </row>
    <row r="7" spans="1:11" x14ac:dyDescent="0.3">
      <c r="B7" s="96"/>
      <c r="D7">
        <f>+'COC, Def, ConvF'!M20</f>
        <v>0.75138099999999997</v>
      </c>
      <c r="F7" s="95">
        <v>2.5146037645821018E-2</v>
      </c>
      <c r="G7" s="43">
        <f>+'COC, Def, ConvF'!M18</f>
        <v>0.95111500000000004</v>
      </c>
      <c r="H7" s="89" t="s">
        <v>731</v>
      </c>
      <c r="I7" s="117" t="s">
        <v>756</v>
      </c>
      <c r="J7" s="94"/>
    </row>
    <row r="8" spans="1:11" x14ac:dyDescent="0.3">
      <c r="B8" s="89" t="s">
        <v>745</v>
      </c>
      <c r="C8" s="89" t="s">
        <v>710</v>
      </c>
      <c r="E8" s="89" t="s">
        <v>763</v>
      </c>
      <c r="F8" s="89" t="s">
        <v>737</v>
      </c>
      <c r="G8" s="89" t="s">
        <v>736</v>
      </c>
      <c r="H8" s="89" t="s">
        <v>743</v>
      </c>
      <c r="I8" s="89" t="s">
        <v>757</v>
      </c>
      <c r="J8" s="89"/>
    </row>
    <row r="9" spans="1:11" x14ac:dyDescent="0.3">
      <c r="A9" s="89" t="s">
        <v>122</v>
      </c>
      <c r="B9" s="89" t="s">
        <v>746</v>
      </c>
      <c r="C9" s="89" t="s">
        <v>734</v>
      </c>
      <c r="D9" s="89" t="s">
        <v>733</v>
      </c>
      <c r="E9" s="89" t="s">
        <v>764</v>
      </c>
      <c r="F9" s="89" t="s">
        <v>732</v>
      </c>
      <c r="G9" s="89" t="s">
        <v>676</v>
      </c>
      <c r="H9" s="89" t="s">
        <v>744</v>
      </c>
      <c r="I9" s="89" t="s">
        <v>758</v>
      </c>
      <c r="J9" s="89"/>
    </row>
    <row r="10" spans="1:11" x14ac:dyDescent="0.3">
      <c r="A10" s="89"/>
      <c r="B10" s="89"/>
      <c r="C10" s="89"/>
      <c r="D10" s="89"/>
      <c r="E10" s="89"/>
      <c r="F10" s="89"/>
      <c r="G10" s="89"/>
      <c r="H10" s="89"/>
      <c r="I10" s="89"/>
      <c r="J10" s="89"/>
    </row>
    <row r="11" spans="1:11" x14ac:dyDescent="0.3">
      <c r="A11" s="119" t="s">
        <v>755</v>
      </c>
      <c r="B11" s="120"/>
      <c r="C11" s="120"/>
      <c r="D11" s="120"/>
      <c r="E11" s="120"/>
      <c r="F11" s="120"/>
      <c r="G11" s="120"/>
      <c r="H11" s="120"/>
      <c r="I11" s="128">
        <f>'COC, Def, ConvF'!AL36</f>
        <v>139881758.88943172</v>
      </c>
      <c r="J11" s="89"/>
    </row>
    <row r="12" spans="1:11" x14ac:dyDescent="0.3">
      <c r="A12" s="110"/>
      <c r="B12" s="89"/>
      <c r="C12" s="89"/>
      <c r="D12" s="89"/>
      <c r="E12" s="89"/>
      <c r="F12" s="89"/>
      <c r="G12" s="89"/>
      <c r="H12" s="89"/>
      <c r="I12" s="111"/>
      <c r="J12" s="89"/>
    </row>
    <row r="13" spans="1:11" x14ac:dyDescent="0.3">
      <c r="A13" s="119" t="s">
        <v>753</v>
      </c>
      <c r="B13" s="121"/>
      <c r="C13" s="121"/>
      <c r="D13" s="121"/>
      <c r="E13" s="121"/>
      <c r="F13" s="121"/>
      <c r="G13" s="121"/>
      <c r="H13" s="121"/>
      <c r="I13" s="122"/>
      <c r="J13" s="89"/>
    </row>
    <row r="14" spans="1:11" x14ac:dyDescent="0.3">
      <c r="A14" s="112" t="s">
        <v>724</v>
      </c>
      <c r="B14" s="106" t="s">
        <v>747</v>
      </c>
      <c r="C14" s="88">
        <f>C64</f>
        <v>-23391891.903797138</v>
      </c>
      <c r="D14" s="86">
        <f>-(C14*$D$3-C14*$D$5*$D$6)</f>
        <v>1641479.2305651568</v>
      </c>
      <c r="E14" s="99">
        <f>E64</f>
        <v>-11519133.519036409</v>
      </c>
      <c r="F14" s="88">
        <f>F64</f>
        <v>-328317.35936691333</v>
      </c>
      <c r="G14" s="88">
        <f>-D14/$G$6+SUM(E14:F14)/$G$7</f>
        <v>-14640997.434006104</v>
      </c>
      <c r="H14" s="88">
        <f t="shared" ref="H14:H20" si="0">G14-G14/$H$5</f>
        <v>-210370.69620395824</v>
      </c>
      <c r="I14" s="88">
        <f>+G14-H14</f>
        <v>-14430626.737802146</v>
      </c>
      <c r="J14" s="154">
        <v>-14430626.737802146</v>
      </c>
      <c r="K14" s="88">
        <f>+I14-J14</f>
        <v>0</v>
      </c>
    </row>
    <row r="15" spans="1:11" x14ac:dyDescent="0.3">
      <c r="A15" s="112" t="s">
        <v>730</v>
      </c>
      <c r="B15" s="106" t="s">
        <v>747</v>
      </c>
      <c r="C15" s="86"/>
      <c r="D15" s="86">
        <f>-(C15*$D$2-C15*$D$5*$D$6)</f>
        <v>0</v>
      </c>
      <c r="E15" s="98">
        <f>+'Detailed Summary'!BD38</f>
        <v>13521271.800000004</v>
      </c>
      <c r="F15" s="103" t="s">
        <v>699</v>
      </c>
      <c r="G15" s="86">
        <f>SUM(E15:F15)/$G$7</f>
        <v>14216232.316807119</v>
      </c>
      <c r="H15" s="86">
        <f t="shared" si="0"/>
        <v>204267.41438650899</v>
      </c>
      <c r="I15" s="86">
        <f t="shared" ref="I15:I19" si="1">+G15-H15</f>
        <v>14011964.90242061</v>
      </c>
      <c r="J15" s="132">
        <v>14011964.90242061</v>
      </c>
      <c r="K15" s="88">
        <f t="shared" ref="K15:K44" si="2">+I15-J15</f>
        <v>0</v>
      </c>
    </row>
    <row r="16" spans="1:11" x14ac:dyDescent="0.3">
      <c r="A16" s="112" t="s">
        <v>729</v>
      </c>
      <c r="B16" s="106" t="s">
        <v>747</v>
      </c>
      <c r="C16" s="86"/>
      <c r="D16" s="86">
        <f>-(C16*$D$2-C16*$D$5*$D$6)</f>
        <v>0</v>
      </c>
      <c r="E16" s="98">
        <f>+'Detailed Summary'!AR39</f>
        <v>-3533963.9933333327</v>
      </c>
      <c r="F16" s="86">
        <f>E16*(1+$F$7)^(28/12)-E16</f>
        <v>-210837.84155729506</v>
      </c>
      <c r="G16" s="86">
        <f>SUM(E16:F16)/$G$7</f>
        <v>-3937275.5501602096</v>
      </c>
      <c r="H16" s="86">
        <f t="shared" si="0"/>
        <v>-56573.153732695617</v>
      </c>
      <c r="I16" s="86">
        <f t="shared" si="1"/>
        <v>-3880702.396427514</v>
      </c>
      <c r="J16" s="132">
        <v>-3880702.396427514</v>
      </c>
      <c r="K16" s="88">
        <f t="shared" si="2"/>
        <v>0</v>
      </c>
    </row>
    <row r="17" spans="1:13" x14ac:dyDescent="0.3">
      <c r="A17" s="112" t="s">
        <v>754</v>
      </c>
      <c r="B17" s="106" t="s">
        <v>747</v>
      </c>
      <c r="C17" s="86"/>
      <c r="D17" s="86">
        <f>-(C17*$D$2-C17*$D$5*$D$6)</f>
        <v>0</v>
      </c>
      <c r="E17" s="98">
        <f>+'Detailed Summary'!AS39</f>
        <v>152047.66032121028</v>
      </c>
      <c r="F17" s="86">
        <f>E17*(1+$F$7)^(28/12)-E17</f>
        <v>9071.2300907523895</v>
      </c>
      <c r="G17" s="86">
        <f>SUM(E17:F17)/$G$7</f>
        <v>169400.00989571467</v>
      </c>
      <c r="H17" s="86">
        <f t="shared" si="0"/>
        <v>2434.0416818834201</v>
      </c>
      <c r="I17" s="86">
        <f t="shared" si="1"/>
        <v>166965.96821383125</v>
      </c>
      <c r="J17" s="132">
        <v>166965.96821383125</v>
      </c>
      <c r="K17" s="88">
        <f t="shared" si="2"/>
        <v>0</v>
      </c>
    </row>
    <row r="18" spans="1:13" x14ac:dyDescent="0.3">
      <c r="A18" s="112" t="s">
        <v>728</v>
      </c>
      <c r="B18" s="106" t="s">
        <v>747</v>
      </c>
      <c r="C18" s="86"/>
      <c r="D18" s="86">
        <f>-(C18*$D$2-C18*$D$5*$D$6)</f>
        <v>0</v>
      </c>
      <c r="E18" s="98">
        <f>+'Detailed Summary'!AX43</f>
        <v>-9006372.2399999984</v>
      </c>
      <c r="F18" s="103" t="s">
        <v>699</v>
      </c>
      <c r="G18" s="86">
        <f>SUM(E18:F18)/$G$6</f>
        <v>-11986425.315519022</v>
      </c>
      <c r="H18" s="86">
        <f t="shared" si="0"/>
        <v>-172228.20029772632</v>
      </c>
      <c r="I18" s="86">
        <f t="shared" si="1"/>
        <v>-11814197.115221296</v>
      </c>
      <c r="J18" s="132">
        <v>-11814197.115221296</v>
      </c>
      <c r="K18" s="88">
        <f t="shared" si="2"/>
        <v>0</v>
      </c>
    </row>
    <row r="19" spans="1:13" x14ac:dyDescent="0.3">
      <c r="A19" s="129" t="s">
        <v>761</v>
      </c>
      <c r="B19" s="130" t="s">
        <v>747</v>
      </c>
      <c r="C19" s="132">
        <f>C69</f>
        <v>7441899.5418886635</v>
      </c>
      <c r="D19" s="132">
        <f>-(C19*$D$3-C19*$D$5*$D$6)</f>
        <v>-522220.41655295319</v>
      </c>
      <c r="E19" s="131">
        <f>E69</f>
        <v>4868445.0880221995</v>
      </c>
      <c r="F19" s="132">
        <f>F69</f>
        <v>290453.56886351295</v>
      </c>
      <c r="G19" s="132">
        <f>-D19/$G$6+SUM(E19:F19)/$G$7</f>
        <v>6119067.64890341</v>
      </c>
      <c r="H19" s="132">
        <f t="shared" si="0"/>
        <v>87922.460694449022</v>
      </c>
      <c r="I19" s="132">
        <f t="shared" si="1"/>
        <v>6031145.1882089609</v>
      </c>
      <c r="J19" s="132">
        <v>6031145.1882089609</v>
      </c>
      <c r="K19" s="88">
        <f t="shared" si="2"/>
        <v>0</v>
      </c>
    </row>
    <row r="20" spans="1:13" x14ac:dyDescent="0.3">
      <c r="A20" s="129" t="s">
        <v>762</v>
      </c>
      <c r="B20" s="130" t="s">
        <v>747</v>
      </c>
      <c r="C20" s="132">
        <f>C74</f>
        <v>13313046.616167815</v>
      </c>
      <c r="D20" s="132">
        <f>-(C20*$D$3-C20*$D$5*$D$6)</f>
        <v>-934216.42019634414</v>
      </c>
      <c r="E20" s="131">
        <f>E74</f>
        <v>7034671.9484617077</v>
      </c>
      <c r="F20" s="132">
        <f>F74</f>
        <v>419691.61329183448</v>
      </c>
      <c r="G20" s="132">
        <f>-D20/$G$6+SUM(E20:F20)/$G$7</f>
        <v>9080832.2403768562</v>
      </c>
      <c r="H20" s="132">
        <f t="shared" si="0"/>
        <v>130478.88363687322</v>
      </c>
      <c r="I20" s="132">
        <f t="shared" ref="I20" si="3">+G20-H20</f>
        <v>8950353.356739983</v>
      </c>
      <c r="J20" s="132">
        <v>8950353.356739983</v>
      </c>
      <c r="K20" s="88">
        <f t="shared" si="2"/>
        <v>0</v>
      </c>
    </row>
    <row r="21" spans="1:13" x14ac:dyDescent="0.3">
      <c r="A21" s="140" t="s">
        <v>768</v>
      </c>
      <c r="B21" s="141"/>
      <c r="C21" s="142"/>
      <c r="D21" s="142"/>
      <c r="E21" s="142"/>
      <c r="F21" s="142"/>
      <c r="G21" s="142"/>
      <c r="H21" s="142"/>
      <c r="I21" s="142"/>
      <c r="J21" s="132"/>
      <c r="K21" s="88">
        <f t="shared" si="2"/>
        <v>0</v>
      </c>
    </row>
    <row r="22" spans="1:13" x14ac:dyDescent="0.3">
      <c r="A22" s="143" t="s">
        <v>915</v>
      </c>
      <c r="B22" s="144" t="s">
        <v>747</v>
      </c>
      <c r="C22" s="145">
        <f>+'Track diff for Impacts'!$C$54</f>
        <v>-11744070.249810219</v>
      </c>
      <c r="D22" s="145">
        <f>-(C22*$D$3-C22*$D$5*$D$6)</f>
        <v>824116.64163993252</v>
      </c>
      <c r="E22" s="146">
        <f>+'Track diff for Impacts'!$C$30</f>
        <v>-674736.04151016474</v>
      </c>
      <c r="F22" s="145">
        <f>F76</f>
        <v>0</v>
      </c>
      <c r="G22" s="145">
        <f>-D22/$G$6+SUM(E22:F22)/$G$7</f>
        <v>-1806218.4442318049</v>
      </c>
      <c r="H22" s="145">
        <f t="shared" ref="H22" si="4">G22-G22/$H$5</f>
        <v>-25952.83779825829</v>
      </c>
      <c r="I22" s="145">
        <f t="shared" ref="I22" si="5">+G22-H22</f>
        <v>-1780265.6064335466</v>
      </c>
      <c r="J22" s="132">
        <v>-1780265.6064335466</v>
      </c>
      <c r="K22" s="88">
        <f t="shared" si="2"/>
        <v>0</v>
      </c>
    </row>
    <row r="23" spans="1:13" x14ac:dyDescent="0.3">
      <c r="A23" s="143" t="s">
        <v>925</v>
      </c>
      <c r="B23" s="144" t="s">
        <v>747</v>
      </c>
      <c r="C23" s="145"/>
      <c r="D23" s="145"/>
      <c r="E23" s="146">
        <v>-18854857.18</v>
      </c>
      <c r="F23" s="152">
        <f>+E23*(1+F6)^(28/12)-E23</f>
        <v>-984752.82397794724</v>
      </c>
      <c r="G23" s="145">
        <f>-D23/$G$6+SUM(E23:F23)/$G$7</f>
        <v>-20859317.752299085</v>
      </c>
      <c r="H23" s="145">
        <f t="shared" ref="H23" si="6">G23-G23/$H$5</f>
        <v>-299719.27921375632</v>
      </c>
      <c r="I23" s="145">
        <f t="shared" ref="I23" si="7">+G23-H23</f>
        <v>-20559598.473085329</v>
      </c>
      <c r="J23" s="132">
        <v>-20559598.473085329</v>
      </c>
      <c r="K23" s="88">
        <f t="shared" si="2"/>
        <v>0</v>
      </c>
    </row>
    <row r="24" spans="1:13" x14ac:dyDescent="0.3">
      <c r="A24" s="143" t="s">
        <v>770</v>
      </c>
      <c r="B24" s="144" t="s">
        <v>747</v>
      </c>
      <c r="C24" s="145"/>
      <c r="D24" s="145"/>
      <c r="E24" s="146">
        <f>-+Rllfwd!H15</f>
        <v>20240949.154748902</v>
      </c>
      <c r="F24" s="152">
        <v>0</v>
      </c>
      <c r="G24" s="145">
        <f>SUM(E24:F24)/$G$6</f>
        <v>26938329.761797149</v>
      </c>
      <c r="H24" s="145">
        <v>0</v>
      </c>
      <c r="I24" s="145">
        <f t="shared" ref="I24:I31" si="8">+G24-H24</f>
        <v>26938329.761797149</v>
      </c>
      <c r="J24" s="132">
        <v>26938329.761797149</v>
      </c>
      <c r="K24" s="88">
        <f t="shared" si="2"/>
        <v>0</v>
      </c>
    </row>
    <row r="25" spans="1:13" x14ac:dyDescent="0.3">
      <c r="A25" s="147" t="s">
        <v>916</v>
      </c>
      <c r="B25" s="144" t="s">
        <v>747</v>
      </c>
      <c r="C25" s="145"/>
      <c r="D25" s="145"/>
      <c r="E25" s="146">
        <f>-+Rllfwd!H16</f>
        <v>-652490.74783587456</v>
      </c>
      <c r="F25" s="145"/>
      <c r="G25" s="158">
        <f>SUM(E25:F25)/$G$6</f>
        <v>-868388.67077537836</v>
      </c>
      <c r="H25" s="158"/>
      <c r="I25" s="158">
        <f t="shared" si="8"/>
        <v>-868388.67077537836</v>
      </c>
      <c r="J25" s="132">
        <v>-868388.67077537836</v>
      </c>
      <c r="K25" s="88">
        <f t="shared" si="2"/>
        <v>0</v>
      </c>
    </row>
    <row r="26" spans="1:13" x14ac:dyDescent="0.3">
      <c r="A26" s="143" t="s">
        <v>778</v>
      </c>
      <c r="B26" s="144" t="s">
        <v>747</v>
      </c>
      <c r="C26" s="145"/>
      <c r="D26" s="145"/>
      <c r="E26" s="146">
        <f>-Rllfwd!H19</f>
        <v>-8892.6578027502328</v>
      </c>
      <c r="F26" s="145"/>
      <c r="G26" s="158">
        <f>SUM(E26:F26)/$G$6</f>
        <v>-11835.084734309536</v>
      </c>
      <c r="H26" s="158"/>
      <c r="I26" s="158">
        <f t="shared" si="8"/>
        <v>-11835.084734309536</v>
      </c>
      <c r="J26" s="132">
        <v>-11835.084734309536</v>
      </c>
      <c r="K26" s="88">
        <f t="shared" si="2"/>
        <v>0</v>
      </c>
    </row>
    <row r="27" spans="1:13" x14ac:dyDescent="0.3">
      <c r="A27" s="143" t="s">
        <v>780</v>
      </c>
      <c r="B27" s="144" t="s">
        <v>747</v>
      </c>
      <c r="C27" s="145"/>
      <c r="D27" s="145"/>
      <c r="E27" s="146">
        <f>+'Track diff for Impacts'!$E$33</f>
        <v>-764746.88170834072</v>
      </c>
      <c r="F27" s="145">
        <f>F81</f>
        <v>0</v>
      </c>
      <c r="G27" s="145">
        <f>-D27/$G$6+SUM(E27:F27)/$G$7</f>
        <v>-804053.01326163579</v>
      </c>
      <c r="H27" s="145">
        <f t="shared" ref="H27:H31" si="9">G27-G27/$H$5</f>
        <v>-11553.119447440375</v>
      </c>
      <c r="I27" s="145">
        <f t="shared" si="8"/>
        <v>-792499.89381419541</v>
      </c>
      <c r="J27" s="132">
        <v>-792499.89381419541</v>
      </c>
      <c r="K27" s="88">
        <f t="shared" si="2"/>
        <v>0</v>
      </c>
    </row>
    <row r="28" spans="1:13" x14ac:dyDescent="0.3">
      <c r="A28" s="143" t="s">
        <v>812</v>
      </c>
      <c r="B28" s="144" t="s">
        <v>747</v>
      </c>
      <c r="C28" s="145"/>
      <c r="D28" s="145">
        <f>-5517393205.70595*(0.0757-0.0762)</f>
        <v>2758696.6028529773</v>
      </c>
      <c r="E28" s="146"/>
      <c r="F28" s="145"/>
      <c r="G28" s="145">
        <f>-D28/$G$6+SUM(E28:F28)/$G$7</f>
        <v>-3671501.6787128998</v>
      </c>
      <c r="H28" s="145">
        <f t="shared" si="9"/>
        <v>-52754.354185655713</v>
      </c>
      <c r="I28" s="145">
        <f t="shared" si="8"/>
        <v>-3618747.3245272441</v>
      </c>
      <c r="J28" s="132">
        <v>-3618747.3245272441</v>
      </c>
      <c r="K28" s="88">
        <f t="shared" si="2"/>
        <v>0</v>
      </c>
    </row>
    <row r="29" spans="1:13" x14ac:dyDescent="0.3">
      <c r="A29" s="159" t="s">
        <v>930</v>
      </c>
      <c r="B29" s="160"/>
      <c r="C29" s="161"/>
      <c r="D29" s="162"/>
      <c r="E29" s="163"/>
      <c r="F29" s="162">
        <f t="shared" ref="F29" si="10">$F$11*D29</f>
        <v>0</v>
      </c>
      <c r="G29" s="162"/>
      <c r="H29" s="164">
        <f t="shared" ref="H29" si="11">+F29-G29</f>
        <v>0</v>
      </c>
      <c r="I29" s="163"/>
      <c r="K29" s="88"/>
    </row>
    <row r="30" spans="1:13" x14ac:dyDescent="0.3">
      <c r="A30" s="165" t="s">
        <v>933</v>
      </c>
      <c r="B30" s="172"/>
      <c r="C30" s="173"/>
      <c r="D30" s="173">
        <f>-5517393205.70595*(0.0748-0.0757)</f>
        <v>4965653.8851353442</v>
      </c>
      <c r="E30" s="174"/>
      <c r="F30" s="173"/>
      <c r="G30" s="173">
        <f>-D30/$G$6+SUM(E30:F30)/$G$7</f>
        <v>-6608703.0216832003</v>
      </c>
      <c r="H30" s="173">
        <f>G30-G30/$H$5</f>
        <v>-94957.837534179911</v>
      </c>
      <c r="I30" s="173">
        <f>+G30-H30</f>
        <v>-6513745.1841490204</v>
      </c>
      <c r="J30" s="132">
        <v>-6513745.1841490204</v>
      </c>
      <c r="K30" s="88">
        <f>+I30-J30</f>
        <v>0</v>
      </c>
      <c r="L30" s="49">
        <f>SUM(I11:I30,I46,I55)</f>
        <v>138402899.76912606</v>
      </c>
      <c r="M30" t="s">
        <v>951</v>
      </c>
    </row>
    <row r="31" spans="1:13" x14ac:dyDescent="0.3">
      <c r="A31" s="165" t="s">
        <v>942</v>
      </c>
      <c r="B31" s="172"/>
      <c r="C31" s="173"/>
      <c r="D31" s="173"/>
      <c r="E31" s="174">
        <v>-7000</v>
      </c>
      <c r="F31" s="173">
        <v>260</v>
      </c>
      <c r="G31" s="173">
        <f>-D31/$G$6+SUM(E31:F31)/$G$7</f>
        <v>-7086.4196232842505</v>
      </c>
      <c r="H31" s="173">
        <f t="shared" si="9"/>
        <v>-101.82195826912266</v>
      </c>
      <c r="I31" s="173">
        <f t="shared" si="8"/>
        <v>-6984.5976650151279</v>
      </c>
      <c r="J31" s="132">
        <v>-6984.5976650151279</v>
      </c>
      <c r="K31" s="88">
        <f t="shared" si="2"/>
        <v>0</v>
      </c>
    </row>
    <row r="32" spans="1:13" x14ac:dyDescent="0.3">
      <c r="A32" s="165" t="s">
        <v>931</v>
      </c>
      <c r="B32" s="172"/>
      <c r="C32" s="173"/>
      <c r="D32" s="173"/>
      <c r="E32" s="174"/>
      <c r="F32" s="173"/>
      <c r="G32" s="173">
        <f>SUM(E32:F32)/$G$6</f>
        <v>0</v>
      </c>
      <c r="H32" s="173">
        <v>0</v>
      </c>
      <c r="I32" s="173">
        <v>89455.006108552217</v>
      </c>
      <c r="J32" s="132">
        <v>89455.006108552217</v>
      </c>
      <c r="K32" s="88">
        <f t="shared" si="2"/>
        <v>0</v>
      </c>
    </row>
    <row r="33" spans="1:12" x14ac:dyDescent="0.3">
      <c r="A33" s="165" t="s">
        <v>941</v>
      </c>
      <c r="B33" s="169"/>
      <c r="C33" s="169"/>
      <c r="D33" s="204">
        <v>993.74220957677289</v>
      </c>
      <c r="E33" s="174">
        <v>117175.27115800977</v>
      </c>
      <c r="F33" s="173">
        <v>-330</v>
      </c>
      <c r="G33" s="173">
        <f>-D33/$G$6+SUM(E33:F33)/$G$7</f>
        <v>121528.27983789325</v>
      </c>
      <c r="H33" s="173">
        <f>G33-G33/$H$4</f>
        <v>1697.3373002498265</v>
      </c>
      <c r="I33" s="173">
        <f t="shared" ref="I33" si="12">+G33-H33</f>
        <v>119830.94253764342</v>
      </c>
      <c r="J33" s="132">
        <v>119830.94253751724</v>
      </c>
      <c r="K33" s="88">
        <f t="shared" si="2"/>
        <v>1.2617965694516897E-7</v>
      </c>
    </row>
    <row r="34" spans="1:12" x14ac:dyDescent="0.3">
      <c r="A34" s="165" t="s">
        <v>940</v>
      </c>
      <c r="B34" s="172"/>
      <c r="C34" s="173"/>
      <c r="D34" s="173">
        <v>1756753.1353945448</v>
      </c>
      <c r="E34" s="174"/>
      <c r="F34" s="173"/>
      <c r="G34" s="173">
        <f>-D34/$G$6+SUM(E34:F34)/$G$7</f>
        <v>-2338032.4168358594</v>
      </c>
      <c r="H34" s="173">
        <f>G34-G34/$H$4</f>
        <v>-32654.371769124176</v>
      </c>
      <c r="I34" s="173">
        <f t="shared" ref="I34" si="13">+G34-H34</f>
        <v>-2305378.0450667352</v>
      </c>
      <c r="J34" s="132">
        <v>-2305378.0450667352</v>
      </c>
      <c r="K34" s="88">
        <f t="shared" si="2"/>
        <v>0</v>
      </c>
    </row>
    <row r="35" spans="1:12" x14ac:dyDescent="0.3">
      <c r="A35" s="165" t="s">
        <v>943</v>
      </c>
      <c r="B35" s="172"/>
      <c r="C35" s="173">
        <v>1711045.3596286774</v>
      </c>
      <c r="D35" s="173">
        <f>-(C35*$D$1-C35*$D$4*$D$6)</f>
        <v>-117133.03218410036</v>
      </c>
      <c r="E35" s="174">
        <v>887017.35510769114</v>
      </c>
      <c r="F35" s="173"/>
      <c r="G35" s="173">
        <f>-D35/$G$6+SUM(E35:F35)/$G$7</f>
        <v>1088498.222087543</v>
      </c>
      <c r="H35" s="173">
        <f>G35-G35/$H$4</f>
        <v>15202.623093729606</v>
      </c>
      <c r="I35" s="173">
        <f t="shared" ref="I35" si="14">+G35-H35</f>
        <v>1073295.5989938134</v>
      </c>
      <c r="J35" s="132">
        <v>1073295.5989938134</v>
      </c>
      <c r="K35" s="88">
        <f t="shared" si="2"/>
        <v>0</v>
      </c>
    </row>
    <row r="36" spans="1:12" x14ac:dyDescent="0.3">
      <c r="A36" s="165" t="s">
        <v>945</v>
      </c>
      <c r="B36" s="172"/>
      <c r="C36" s="173">
        <v>995512.87294960022</v>
      </c>
      <c r="D36" s="173">
        <f>-(C36*$D$1-C36*$D$4*$D$6)</f>
        <v>-68149.824743510777</v>
      </c>
      <c r="E36" s="174">
        <v>504057.15086065978</v>
      </c>
      <c r="F36" s="173"/>
      <c r="G36" s="173">
        <f>-D36/$G$6+SUM(E36:F36)/$G$7</f>
        <v>620663.88878358854</v>
      </c>
      <c r="H36" s="173">
        <f>G36-G36/$H$4</f>
        <v>8668.5664501771098</v>
      </c>
      <c r="I36" s="173">
        <f t="shared" ref="I36" si="15">+G36-H36</f>
        <v>611995.32233341143</v>
      </c>
      <c r="J36" s="132">
        <v>611995</v>
      </c>
      <c r="K36" s="88">
        <f t="shared" si="2"/>
        <v>0.32233341143000871</v>
      </c>
    </row>
    <row r="37" spans="1:12" x14ac:dyDescent="0.3">
      <c r="A37" s="165" t="s">
        <v>950</v>
      </c>
      <c r="B37" s="172"/>
      <c r="C37" s="173"/>
      <c r="D37" s="173"/>
      <c r="E37" s="174"/>
      <c r="F37" s="173"/>
      <c r="G37" s="173"/>
      <c r="H37" s="173"/>
      <c r="I37" s="173">
        <v>-2656.7026877123799</v>
      </c>
      <c r="J37" s="132">
        <v>-2656.7026877123799</v>
      </c>
      <c r="K37" s="88">
        <f t="shared" si="2"/>
        <v>0</v>
      </c>
    </row>
    <row r="38" spans="1:12" x14ac:dyDescent="0.3">
      <c r="A38" s="165"/>
      <c r="B38" s="172"/>
      <c r="C38" s="173"/>
      <c r="D38" s="173"/>
      <c r="E38" s="174"/>
      <c r="F38" s="173"/>
      <c r="G38" s="173"/>
      <c r="H38" s="173"/>
      <c r="I38" s="173"/>
      <c r="J38" s="132"/>
      <c r="K38" s="88">
        <f t="shared" si="2"/>
        <v>0</v>
      </c>
    </row>
    <row r="39" spans="1:12" x14ac:dyDescent="0.3">
      <c r="A39" s="165"/>
      <c r="B39" s="172"/>
      <c r="C39" s="173"/>
      <c r="D39" s="173"/>
      <c r="E39" s="174"/>
      <c r="F39" s="173"/>
      <c r="G39" s="173"/>
      <c r="H39" s="173"/>
      <c r="I39" s="173"/>
      <c r="J39" s="132"/>
      <c r="K39" s="88">
        <f t="shared" si="2"/>
        <v>0</v>
      </c>
    </row>
    <row r="40" spans="1:12" x14ac:dyDescent="0.3">
      <c r="A40" s="165"/>
      <c r="B40" s="172"/>
      <c r="C40" s="173"/>
      <c r="D40" s="173"/>
      <c r="E40" s="174"/>
      <c r="F40" s="173"/>
      <c r="G40" s="173"/>
      <c r="H40" s="173"/>
      <c r="I40" s="173"/>
      <c r="J40" s="132"/>
      <c r="K40" s="88">
        <f t="shared" si="2"/>
        <v>0</v>
      </c>
    </row>
    <row r="41" spans="1:12" x14ac:dyDescent="0.3">
      <c r="A41" s="165"/>
      <c r="B41" s="172"/>
      <c r="C41" s="173"/>
      <c r="D41" s="173"/>
      <c r="E41" s="174"/>
      <c r="F41" s="173"/>
      <c r="G41" s="173"/>
      <c r="H41" s="173"/>
      <c r="I41" s="173"/>
      <c r="J41" s="132"/>
      <c r="K41" s="88">
        <f t="shared" si="2"/>
        <v>0</v>
      </c>
    </row>
    <row r="42" spans="1:12" x14ac:dyDescent="0.3">
      <c r="A42" s="165"/>
      <c r="B42" s="172"/>
      <c r="C42" s="173"/>
      <c r="D42" s="173"/>
      <c r="E42" s="174"/>
      <c r="F42" s="173"/>
      <c r="G42" s="173"/>
      <c r="H42" s="173"/>
      <c r="I42" s="173"/>
      <c r="J42" s="132"/>
      <c r="K42" s="88">
        <f t="shared" si="2"/>
        <v>0</v>
      </c>
    </row>
    <row r="43" spans="1:12" x14ac:dyDescent="0.3">
      <c r="A43" s="165"/>
      <c r="B43" s="172"/>
      <c r="C43" s="173"/>
      <c r="D43" s="173"/>
      <c r="E43" s="174"/>
      <c r="F43" s="173"/>
      <c r="G43" s="173"/>
      <c r="H43" s="173"/>
      <c r="I43" s="173"/>
      <c r="J43" s="132"/>
      <c r="K43" s="88">
        <f t="shared" si="2"/>
        <v>0</v>
      </c>
    </row>
    <row r="44" spans="1:12" x14ac:dyDescent="0.3">
      <c r="A44" s="165"/>
      <c r="B44" s="172"/>
      <c r="C44" s="173"/>
      <c r="D44" s="173"/>
      <c r="E44" s="174"/>
      <c r="F44" s="173"/>
      <c r="G44" s="173"/>
      <c r="H44" s="173"/>
      <c r="I44" s="173"/>
      <c r="J44" s="132"/>
      <c r="K44" s="88">
        <f t="shared" si="2"/>
        <v>0</v>
      </c>
      <c r="L44" s="170"/>
    </row>
    <row r="45" spans="1:12" x14ac:dyDescent="0.3">
      <c r="A45" s="123" t="s">
        <v>760</v>
      </c>
      <c r="B45" s="124"/>
      <c r="C45" s="125"/>
      <c r="D45" s="125"/>
      <c r="E45" s="125"/>
      <c r="F45" s="126"/>
      <c r="G45" s="125"/>
      <c r="H45" s="127"/>
      <c r="I45" s="125"/>
      <c r="J45" s="86"/>
      <c r="K45" s="88"/>
    </row>
    <row r="46" spans="1:12" x14ac:dyDescent="0.3">
      <c r="A46" s="112" t="s">
        <v>742</v>
      </c>
      <c r="B46" s="106" t="s">
        <v>747</v>
      </c>
      <c r="C46" s="86"/>
      <c r="D46" s="86"/>
      <c r="E46" s="98">
        <f>-Rllfwd!H12</f>
        <v>516507.1969486773</v>
      </c>
      <c r="F46" s="103" t="s">
        <v>699</v>
      </c>
      <c r="G46" s="86">
        <f>SUM(E46:F46)/$G$6</f>
        <v>687410.51071118028</v>
      </c>
      <c r="H46" s="103" t="s">
        <v>699</v>
      </c>
      <c r="I46" s="86">
        <f t="shared" ref="I46" si="16">SUM(G46:H46)</f>
        <v>687410.51071118028</v>
      </c>
      <c r="J46" s="86"/>
      <c r="K46" s="88"/>
      <c r="L46" s="41"/>
    </row>
    <row r="47" spans="1:12" x14ac:dyDescent="0.3">
      <c r="A47" s="123" t="s">
        <v>751</v>
      </c>
      <c r="B47" s="124"/>
      <c r="C47" s="125"/>
      <c r="D47" s="125"/>
      <c r="E47" s="125"/>
      <c r="F47" s="126"/>
      <c r="G47" s="125"/>
      <c r="H47" s="127"/>
      <c r="I47" s="125"/>
      <c r="J47" s="86"/>
      <c r="K47" s="88"/>
    </row>
    <row r="48" spans="1:12" x14ac:dyDescent="0.3">
      <c r="A48" s="123" t="s">
        <v>752</v>
      </c>
      <c r="B48" s="124"/>
      <c r="C48" s="125"/>
      <c r="D48" s="125"/>
      <c r="E48" s="125"/>
      <c r="F48" s="126"/>
      <c r="G48" s="125"/>
      <c r="H48" s="127"/>
      <c r="I48" s="125"/>
      <c r="J48" s="86"/>
      <c r="K48" s="88"/>
    </row>
    <row r="49" spans="1:12" x14ac:dyDescent="0.3">
      <c r="A49" s="113"/>
      <c r="B49" s="107"/>
      <c r="C49" s="88"/>
      <c r="D49" s="86"/>
      <c r="E49" s="98"/>
      <c r="F49" s="103"/>
      <c r="G49" s="86"/>
      <c r="H49" s="103"/>
      <c r="I49" s="86"/>
      <c r="J49" s="86"/>
      <c r="K49" s="88"/>
    </row>
    <row r="50" spans="1:12" x14ac:dyDescent="0.3">
      <c r="A50" s="113" t="s">
        <v>741</v>
      </c>
      <c r="B50" s="107" t="s">
        <v>748</v>
      </c>
      <c r="C50" s="86"/>
      <c r="D50" s="86">
        <f>-(C50*$D$2-C50*$D$5*$D$6)</f>
        <v>0</v>
      </c>
      <c r="E50" s="98">
        <v>0</v>
      </c>
      <c r="F50" s="103" t="s">
        <v>699</v>
      </c>
      <c r="G50" s="86">
        <f>SUM(E50:F50)/$G$6</f>
        <v>0</v>
      </c>
      <c r="H50" s="103" t="s">
        <v>699</v>
      </c>
      <c r="I50" s="86">
        <f t="shared" ref="I50" si="17">SUM(G50:H50)</f>
        <v>0</v>
      </c>
      <c r="J50" s="86"/>
      <c r="K50" s="88"/>
    </row>
    <row r="51" spans="1:12" x14ac:dyDescent="0.3">
      <c r="A51" s="123" t="s">
        <v>750</v>
      </c>
      <c r="B51" s="124"/>
      <c r="C51" s="125"/>
      <c r="D51" s="125"/>
      <c r="E51" s="125"/>
      <c r="F51" s="125"/>
      <c r="G51" s="125"/>
      <c r="H51" s="126"/>
      <c r="I51" s="125"/>
      <c r="J51" s="86"/>
      <c r="K51" s="88"/>
    </row>
    <row r="52" spans="1:12" x14ac:dyDescent="0.3">
      <c r="A52" s="113"/>
      <c r="B52" s="107"/>
      <c r="C52" s="86"/>
      <c r="D52" s="86"/>
      <c r="E52" s="98"/>
      <c r="F52" s="86"/>
      <c r="G52" s="86"/>
      <c r="H52" s="103"/>
      <c r="I52" s="86"/>
      <c r="J52" s="86"/>
      <c r="K52" s="88"/>
    </row>
    <row r="53" spans="1:12" x14ac:dyDescent="0.3">
      <c r="A53" s="113" t="s">
        <v>741</v>
      </c>
      <c r="B53" s="107" t="s">
        <v>748</v>
      </c>
      <c r="C53" s="86">
        <f t="shared" ref="C53:E53" si="18">-C50</f>
        <v>0</v>
      </c>
      <c r="D53" s="86">
        <f t="shared" si="18"/>
        <v>0</v>
      </c>
      <c r="E53" s="98">
        <f t="shared" si="18"/>
        <v>0</v>
      </c>
      <c r="F53" s="86"/>
      <c r="G53" s="86">
        <f>-G50</f>
        <v>0</v>
      </c>
      <c r="H53" s="103"/>
      <c r="I53" s="86">
        <f>-I50</f>
        <v>0</v>
      </c>
      <c r="J53" s="86"/>
      <c r="K53" s="88"/>
    </row>
    <row r="54" spans="1:12" x14ac:dyDescent="0.3">
      <c r="A54" s="114" t="s">
        <v>727</v>
      </c>
      <c r="B54" s="92"/>
      <c r="C54" s="93">
        <f t="shared" ref="C54:I54" si="19">SUM(C14:C53)</f>
        <v>-11674457.762972601</v>
      </c>
      <c r="D54" s="93">
        <f t="shared" si="19"/>
        <v>10305973.544120623</v>
      </c>
      <c r="E54" s="93">
        <f t="shared" si="19"/>
        <v>2819949.3644021908</v>
      </c>
      <c r="F54" s="93">
        <f t="shared" si="19"/>
        <v>-804761.61265605583</v>
      </c>
      <c r="G54" s="93">
        <f t="shared" si="19"/>
        <v>-8497871.9226423372</v>
      </c>
      <c r="H54" s="93">
        <f t="shared" si="19"/>
        <v>-506194.3448971929</v>
      </c>
      <c r="I54" s="93">
        <f t="shared" si="19"/>
        <v>-7904879.2743243091</v>
      </c>
      <c r="J54" s="100"/>
      <c r="L54" s="57"/>
    </row>
    <row r="55" spans="1:12" x14ac:dyDescent="0.3">
      <c r="A55" s="114" t="s">
        <v>726</v>
      </c>
      <c r="B55" s="92"/>
      <c r="C55" s="89"/>
      <c r="D55" s="89"/>
      <c r="E55" s="89"/>
      <c r="F55" s="89"/>
      <c r="G55" s="89"/>
      <c r="I55" s="86">
        <f>+'COC, Def, ConvF'!AM34</f>
        <v>6005577.6785726249</v>
      </c>
      <c r="J55" s="86"/>
    </row>
    <row r="56" spans="1:12" ht="15" thickBot="1" x14ac:dyDescent="0.35">
      <c r="A56" s="91" t="s">
        <v>725</v>
      </c>
      <c r="B56" s="91"/>
      <c r="C56" s="89"/>
      <c r="D56" s="89"/>
      <c r="E56" s="89"/>
      <c r="F56" s="89"/>
      <c r="G56" s="89"/>
      <c r="I56" s="90">
        <f>SUM(I54:I55)</f>
        <v>-1899301.5957516842</v>
      </c>
      <c r="J56" s="101"/>
    </row>
    <row r="57" spans="1:12" ht="15" thickTop="1" x14ac:dyDescent="0.3">
      <c r="A57" s="89"/>
      <c r="B57" s="89"/>
      <c r="C57" s="89"/>
      <c r="D57" s="89"/>
      <c r="E57" s="89"/>
      <c r="F57" s="89"/>
      <c r="G57" s="89"/>
      <c r="I57" s="89"/>
      <c r="J57" s="89"/>
    </row>
    <row r="58" spans="1:12" x14ac:dyDescent="0.3">
      <c r="A58" s="119" t="s">
        <v>749</v>
      </c>
      <c r="B58" s="121"/>
      <c r="C58" s="121"/>
      <c r="D58" s="121"/>
      <c r="E58" s="121"/>
      <c r="F58" s="121"/>
      <c r="G58" s="121"/>
      <c r="H58" s="121"/>
      <c r="I58" s="128">
        <f>I11+I56</f>
        <v>137982457.29368004</v>
      </c>
      <c r="J58" s="171">
        <f>'COC, Def, ConvF'!C36-I58</f>
        <v>-7.1317839324474335</v>
      </c>
      <c r="K58" s="57" t="s">
        <v>738</v>
      </c>
    </row>
    <row r="59" spans="1:12" outlineLevel="1" x14ac:dyDescent="0.3">
      <c r="J59" s="41"/>
    </row>
    <row r="60" spans="1:12" outlineLevel="1" x14ac:dyDescent="0.3">
      <c r="A60" t="s">
        <v>739</v>
      </c>
      <c r="I60" s="88"/>
      <c r="J60" s="88"/>
    </row>
    <row r="61" spans="1:12" outlineLevel="1" x14ac:dyDescent="0.3">
      <c r="A61" s="87" t="s">
        <v>723</v>
      </c>
      <c r="B61" s="87"/>
      <c r="C61" s="88"/>
      <c r="D61" s="88">
        <v>0</v>
      </c>
      <c r="E61" s="99">
        <f>+'Detailed Summary'!BE38</f>
        <v>-6016033.5165937655</v>
      </c>
      <c r="F61" s="88">
        <v>0</v>
      </c>
      <c r="G61" s="88">
        <f>SUM(E61:F61)/$G$7</f>
        <v>-6325243.0217100615</v>
      </c>
      <c r="H61" s="88">
        <f>G61/$H$5</f>
        <v>-6234358.1087023085</v>
      </c>
      <c r="I61" s="86"/>
      <c r="J61" s="86"/>
    </row>
    <row r="62" spans="1:12" outlineLevel="1" x14ac:dyDescent="0.3">
      <c r="A62" s="87" t="s">
        <v>722</v>
      </c>
      <c r="B62" s="87"/>
      <c r="C62" s="86"/>
      <c r="D62" s="86"/>
      <c r="E62" s="98">
        <f>+'Detailed Summary'!BE39</f>
        <v>-5503100.002442643</v>
      </c>
      <c r="F62" s="86">
        <f>E62*(1+$F$7)^(28/12)-E62</f>
        <v>-328317.35936691333</v>
      </c>
      <c r="G62" s="86">
        <f>SUM(E62:F62)/$G$7</f>
        <v>-6131138.0451465454</v>
      </c>
      <c r="H62" s="86">
        <f>G62/$H$5</f>
        <v>-6043042.1497067809</v>
      </c>
      <c r="I62" s="86"/>
      <c r="J62" s="86"/>
    </row>
    <row r="63" spans="1:12" outlineLevel="1" x14ac:dyDescent="0.3">
      <c r="A63" s="87" t="s">
        <v>710</v>
      </c>
      <c r="B63" s="87"/>
      <c r="C63" s="86">
        <v>-23391891.903797138</v>
      </c>
      <c r="D63" s="86">
        <f>C63*$D$2-C63*$D$5*$D$6</f>
        <v>-1608730.5818998409</v>
      </c>
      <c r="E63" s="86">
        <v>0</v>
      </c>
      <c r="F63" s="86">
        <v>0</v>
      </c>
      <c r="G63" s="86">
        <f>D63/$G$6</f>
        <v>-2141031.7560596303</v>
      </c>
      <c r="H63" s="86">
        <f>G63/$H$5</f>
        <v>-2110268.1183261178</v>
      </c>
      <c r="I63" s="102"/>
      <c r="J63" s="102"/>
    </row>
    <row r="64" spans="1:12" ht="15" outlineLevel="1" thickBot="1" x14ac:dyDescent="0.35">
      <c r="A64" t="s">
        <v>721</v>
      </c>
      <c r="C64" s="85">
        <f t="shared" ref="C64:H64" si="20">SUM(C61:C63)</f>
        <v>-23391891.903797138</v>
      </c>
      <c r="D64" s="85">
        <f t="shared" si="20"/>
        <v>-1608730.5818998409</v>
      </c>
      <c r="E64" s="85">
        <f t="shared" si="20"/>
        <v>-11519133.519036409</v>
      </c>
      <c r="F64" s="85">
        <f t="shared" si="20"/>
        <v>-328317.35936691333</v>
      </c>
      <c r="G64" s="85">
        <f t="shared" si="20"/>
        <v>-14597412.822916238</v>
      </c>
      <c r="H64" s="85">
        <f t="shared" si="20"/>
        <v>-14387668.376735209</v>
      </c>
      <c r="I64" s="84"/>
      <c r="J64" s="84"/>
    </row>
    <row r="65" spans="1:11" ht="15" outlineLevel="1" thickTop="1" x14ac:dyDescent="0.3">
      <c r="C65" s="102"/>
      <c r="D65" s="102"/>
      <c r="E65" s="102"/>
      <c r="F65" s="102"/>
      <c r="G65" s="102"/>
      <c r="H65" s="102"/>
      <c r="I65" s="84"/>
      <c r="J65" s="84"/>
    </row>
    <row r="66" spans="1:11" outlineLevel="1" x14ac:dyDescent="0.3">
      <c r="A66" s="133" t="s">
        <v>765</v>
      </c>
      <c r="C66" s="134"/>
      <c r="D66" s="134"/>
      <c r="E66" s="134"/>
      <c r="F66" s="134"/>
      <c r="G66" s="134"/>
      <c r="H66" s="134"/>
      <c r="I66" s="135"/>
      <c r="J66" s="84"/>
    </row>
    <row r="67" spans="1:11" outlineLevel="1" x14ac:dyDescent="0.3">
      <c r="A67" s="129" t="s">
        <v>722</v>
      </c>
      <c r="C67" s="134">
        <v>0</v>
      </c>
      <c r="D67" s="134">
        <v>0</v>
      </c>
      <c r="E67" s="134">
        <v>4868445.0880221995</v>
      </c>
      <c r="F67" s="134">
        <v>290453.56886351295</v>
      </c>
      <c r="G67" s="134">
        <v>5424053.5128619699</v>
      </c>
      <c r="H67" s="134">
        <v>5346117.4351533568</v>
      </c>
      <c r="I67" s="135"/>
      <c r="J67" s="84"/>
    </row>
    <row r="68" spans="1:11" outlineLevel="1" x14ac:dyDescent="0.3">
      <c r="A68" s="129" t="s">
        <v>710</v>
      </c>
      <c r="C68" s="134">
        <v>7441899.5418886635</v>
      </c>
      <c r="D68" s="134">
        <v>-511801.75719430903</v>
      </c>
      <c r="E68" s="134">
        <v>0</v>
      </c>
      <c r="F68" s="134">
        <v>0</v>
      </c>
      <c r="G68" s="134">
        <v>681148.12218343164</v>
      </c>
      <c r="H68" s="134">
        <v>671360.97446158831</v>
      </c>
      <c r="I68" s="135"/>
      <c r="J68" s="84"/>
    </row>
    <row r="69" spans="1:11" ht="15" outlineLevel="1" thickBot="1" x14ac:dyDescent="0.35">
      <c r="A69" s="57" t="s">
        <v>766</v>
      </c>
      <c r="C69" s="136">
        <v>7441899.5418886635</v>
      </c>
      <c r="D69" s="136">
        <v>-511801.75719430903</v>
      </c>
      <c r="E69" s="136">
        <v>4868445.0880221995</v>
      </c>
      <c r="F69" s="136">
        <v>290453.56886351295</v>
      </c>
      <c r="G69" s="136">
        <v>6105201.6350454018</v>
      </c>
      <c r="H69" s="136">
        <v>6017478.4096149448</v>
      </c>
      <c r="I69" s="135"/>
      <c r="J69" s="84"/>
    </row>
    <row r="70" spans="1:11" ht="15" outlineLevel="1" thickTop="1" x14ac:dyDescent="0.3">
      <c r="C70" s="134"/>
      <c r="D70" s="134"/>
      <c r="E70" s="134"/>
      <c r="F70" s="134"/>
      <c r="G70" s="134"/>
      <c r="H70" s="134"/>
      <c r="I70" s="135"/>
      <c r="J70" s="84"/>
    </row>
    <row r="71" spans="1:11" outlineLevel="1" x14ac:dyDescent="0.3">
      <c r="A71" s="133" t="s">
        <v>767</v>
      </c>
      <c r="C71" s="134"/>
      <c r="D71" s="134"/>
      <c r="E71" s="134"/>
      <c r="F71" s="134"/>
      <c r="G71" s="134"/>
      <c r="H71" s="134"/>
      <c r="I71" s="84"/>
      <c r="J71" s="84"/>
    </row>
    <row r="72" spans="1:11" outlineLevel="1" x14ac:dyDescent="0.3">
      <c r="A72" s="129" t="s">
        <v>722</v>
      </c>
      <c r="C72" s="134">
        <v>0</v>
      </c>
      <c r="D72" s="134">
        <v>0</v>
      </c>
      <c r="E72" s="134">
        <v>7034671.9484617077</v>
      </c>
      <c r="F72" s="134">
        <v>419691.61329183448</v>
      </c>
      <c r="G72" s="134">
        <v>7837499.736365783</v>
      </c>
      <c r="H72" s="134">
        <v>7724885.8052815488</v>
      </c>
      <c r="I72" s="84"/>
      <c r="J72" s="84"/>
    </row>
    <row r="73" spans="1:11" outlineLevel="1" x14ac:dyDescent="0.3">
      <c r="A73" s="129" t="s">
        <v>710</v>
      </c>
      <c r="C73" s="134">
        <v>13313046.616167815</v>
      </c>
      <c r="D73" s="134">
        <v>-915578.1549337093</v>
      </c>
      <c r="E73" s="134">
        <v>0</v>
      </c>
      <c r="F73" s="134">
        <v>0</v>
      </c>
      <c r="G73" s="134">
        <v>1218527.1585702985</v>
      </c>
      <c r="H73" s="134">
        <v>1201018.6242066172</v>
      </c>
      <c r="I73" s="84"/>
      <c r="J73" s="84"/>
    </row>
    <row r="74" spans="1:11" ht="15" outlineLevel="1" thickBot="1" x14ac:dyDescent="0.35">
      <c r="A74" s="57" t="s">
        <v>766</v>
      </c>
      <c r="C74" s="136">
        <v>13313046.616167815</v>
      </c>
      <c r="D74" s="136">
        <v>-915578.1549337093</v>
      </c>
      <c r="E74" s="136">
        <v>7034671.9484617077</v>
      </c>
      <c r="F74" s="136">
        <v>419691.61329183448</v>
      </c>
      <c r="G74" s="136">
        <v>9056026.894936081</v>
      </c>
      <c r="H74" s="136">
        <v>8925904.4294881653</v>
      </c>
      <c r="I74" s="84"/>
      <c r="J74" s="84"/>
    </row>
    <row r="75" spans="1:11" ht="15" outlineLevel="1" thickTop="1" x14ac:dyDescent="0.3">
      <c r="C75" s="102"/>
      <c r="D75" s="102"/>
      <c r="E75" s="102"/>
      <c r="F75" s="102"/>
      <c r="G75" s="102"/>
      <c r="H75" s="102"/>
      <c r="I75" s="84"/>
      <c r="J75" s="84"/>
    </row>
    <row r="76" spans="1:11" outlineLevel="1" x14ac:dyDescent="0.3">
      <c r="C76" s="102"/>
      <c r="D76" s="102"/>
      <c r="E76" s="102"/>
      <c r="F76" s="102"/>
      <c r="G76" s="102"/>
      <c r="H76" s="102"/>
      <c r="I76" s="84"/>
      <c r="J76" s="84"/>
    </row>
    <row r="78" spans="1:11" x14ac:dyDescent="0.3">
      <c r="C78" s="88"/>
      <c r="D78" s="88"/>
      <c r="K78" s="109"/>
    </row>
    <row r="79" spans="1:11" x14ac:dyDescent="0.3">
      <c r="K79" s="108"/>
    </row>
  </sheetData>
  <pageMargins left="0.7" right="0.7" top="0.75" bottom="0.75" header="0.3" footer="0.3"/>
  <pageSetup scale="61" orientation="landscape" r:id="rId1"/>
  <customProperties>
    <customPr name="EpmWorksheetKeyString_GUID" r:id="rId2"/>
  </customPropertie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41" sqref="B41"/>
    </sheetView>
  </sheetViews>
  <sheetFormatPr defaultColWidth="9.109375" defaultRowHeight="14.4" x14ac:dyDescent="0.3"/>
  <cols>
    <col min="1" max="16384" width="9.109375" style="156"/>
  </cols>
  <sheetData/>
  <pageMargins left="0.7" right="0.7" top="0.75" bottom="0.75" header="0.3" footer="0.3"/>
  <customProperties>
    <customPr name="EpmWorksheetKeyString_GUID" r:id="rId1"/>
  </customPropertie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C9"/>
  <sheetViews>
    <sheetView workbookViewId="0">
      <selection activeCell="B41" sqref="B41"/>
    </sheetView>
  </sheetViews>
  <sheetFormatPr defaultColWidth="9.109375" defaultRowHeight="14.4" x14ac:dyDescent="0.3"/>
  <cols>
    <col min="1" max="1" width="9.109375" style="156"/>
    <col min="2" max="2" width="15.88671875" style="156" bestFit="1" customWidth="1"/>
    <col min="3" max="3" width="23.5546875" style="156" bestFit="1" customWidth="1"/>
    <col min="4" max="16384" width="9.109375" style="156"/>
  </cols>
  <sheetData>
    <row r="3" spans="2:3" x14ac:dyDescent="0.3">
      <c r="B3" s="156" t="s">
        <v>85</v>
      </c>
      <c r="C3" s="210">
        <v>0.21</v>
      </c>
    </row>
    <row r="4" spans="2:3" x14ac:dyDescent="0.3">
      <c r="B4" s="156" t="s">
        <v>86</v>
      </c>
      <c r="C4" s="156" t="s">
        <v>201</v>
      </c>
    </row>
    <row r="5" spans="2:3" x14ac:dyDescent="0.3">
      <c r="B5" s="156" t="s">
        <v>87</v>
      </c>
      <c r="C5" s="156" t="s">
        <v>266</v>
      </c>
    </row>
    <row r="6" spans="2:3" x14ac:dyDescent="0.3">
      <c r="B6" s="156" t="s">
        <v>88</v>
      </c>
      <c r="C6" s="156" t="s">
        <v>349</v>
      </c>
    </row>
    <row r="7" spans="2:3" x14ac:dyDescent="0.3">
      <c r="B7" s="156" t="s">
        <v>90</v>
      </c>
      <c r="C7" s="156" t="s">
        <v>89</v>
      </c>
    </row>
    <row r="8" spans="2:3" x14ac:dyDescent="0.3">
      <c r="B8" s="156" t="s">
        <v>123</v>
      </c>
      <c r="C8" s="156" t="s">
        <v>487</v>
      </c>
    </row>
    <row r="9" spans="2:3" x14ac:dyDescent="0.3">
      <c r="B9" s="156" t="s">
        <v>124</v>
      </c>
      <c r="C9" s="156" t="s">
        <v>197</v>
      </c>
    </row>
  </sheetData>
  <pageMargins left="0.7" right="0.7" top="0.75" bottom="0.75" header="0.3" footer="0.3"/>
  <customProperties>
    <customPr name="EpmWorksheetKeyString_GUID" r:id="rId1"/>
  </customPropertie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16"/>
  <sheetViews>
    <sheetView zoomScale="85" zoomScaleNormal="85" workbookViewId="0"/>
  </sheetViews>
  <sheetFormatPr defaultColWidth="9.109375" defaultRowHeight="14.4" x14ac:dyDescent="0.3"/>
  <cols>
    <col min="1" max="1" width="9.109375" style="156"/>
    <col min="2" max="2" width="40.88671875" style="156" bestFit="1" customWidth="1"/>
    <col min="3" max="3" width="14.109375" style="156" customWidth="1"/>
    <col min="4" max="4" width="19.33203125" style="156" customWidth="1"/>
    <col min="5" max="5" width="17.5546875" style="156" customWidth="1"/>
    <col min="6" max="16384" width="9.109375" style="156"/>
  </cols>
  <sheetData>
    <row r="2" spans="1:5" ht="13.5" customHeight="1" x14ac:dyDescent="0.3"/>
    <row r="3" spans="1:5" hidden="1" x14ac:dyDescent="0.3"/>
    <row r="4" spans="1:5" ht="51" customHeight="1" x14ac:dyDescent="0.3">
      <c r="A4" s="155" t="s">
        <v>848</v>
      </c>
      <c r="B4" s="223"/>
      <c r="C4" s="224" t="s">
        <v>914</v>
      </c>
      <c r="D4" s="224" t="s">
        <v>844</v>
      </c>
      <c r="E4" s="224" t="s">
        <v>845</v>
      </c>
    </row>
    <row r="5" spans="1:5" ht="43.2" x14ac:dyDescent="0.3">
      <c r="A5" s="225" t="s">
        <v>849</v>
      </c>
      <c r="B5" s="225" t="s">
        <v>850</v>
      </c>
      <c r="C5" s="225" t="s">
        <v>846</v>
      </c>
      <c r="D5" s="225" t="s">
        <v>846</v>
      </c>
      <c r="E5" s="225" t="s">
        <v>846</v>
      </c>
    </row>
    <row r="6" spans="1:5" x14ac:dyDescent="0.3">
      <c r="A6" s="226"/>
      <c r="B6" s="226"/>
      <c r="C6" s="227" t="s">
        <v>847</v>
      </c>
      <c r="D6" s="227" t="s">
        <v>847</v>
      </c>
      <c r="E6" s="227" t="s">
        <v>847</v>
      </c>
    </row>
    <row r="7" spans="1:5" x14ac:dyDescent="0.3">
      <c r="A7" s="228">
        <f>IF(ISBLANK(B7),"",MAX(A$6:A6)+1)</f>
        <v>1</v>
      </c>
      <c r="B7" s="229" t="s">
        <v>851</v>
      </c>
    </row>
    <row r="8" spans="1:5" x14ac:dyDescent="0.3">
      <c r="A8" s="228">
        <f>IF(ISBLANK(B8),"",MAX(A$6:A7)+1)</f>
        <v>2</v>
      </c>
      <c r="B8" s="230" t="s">
        <v>852</v>
      </c>
      <c r="C8" s="231">
        <v>0</v>
      </c>
      <c r="D8" s="231">
        <v>0</v>
      </c>
      <c r="E8" s="231">
        <v>0</v>
      </c>
    </row>
    <row r="9" spans="1:5" x14ac:dyDescent="0.3">
      <c r="A9" s="228">
        <f>IF(ISBLANK(B9),"",MAX(A$6:A8)+1)</f>
        <v>3</v>
      </c>
      <c r="B9" s="230" t="s">
        <v>853</v>
      </c>
      <c r="C9" s="232">
        <v>0</v>
      </c>
      <c r="D9" s="232">
        <v>0</v>
      </c>
      <c r="E9" s="232">
        <v>0</v>
      </c>
    </row>
    <row r="10" spans="1:5" x14ac:dyDescent="0.3">
      <c r="A10" s="228">
        <f>IF(ISBLANK(B10),"",MAX(A$6:A9)+1)</f>
        <v>4</v>
      </c>
      <c r="B10" s="230" t="s">
        <v>854</v>
      </c>
      <c r="C10" s="232">
        <v>0</v>
      </c>
      <c r="D10" s="232">
        <v>0</v>
      </c>
      <c r="E10" s="232">
        <v>0</v>
      </c>
    </row>
    <row r="11" spans="1:5" x14ac:dyDescent="0.3">
      <c r="A11" s="228">
        <f>IF(ISBLANK(B11),"",MAX(A$6:A10)+1)</f>
        <v>5</v>
      </c>
      <c r="B11" s="230" t="s">
        <v>855</v>
      </c>
      <c r="C11" s="233">
        <v>0</v>
      </c>
      <c r="D11" s="233">
        <v>0</v>
      </c>
      <c r="E11" s="233">
        <v>0</v>
      </c>
    </row>
    <row r="12" spans="1:5" x14ac:dyDescent="0.3">
      <c r="A12" s="228">
        <f>IF(ISBLANK(B12),"",MAX(A$6:A11)+1)</f>
        <v>6</v>
      </c>
      <c r="B12" s="234" t="s">
        <v>856</v>
      </c>
      <c r="C12" s="235">
        <v>0</v>
      </c>
      <c r="D12" s="235">
        <v>0</v>
      </c>
      <c r="E12" s="235">
        <v>0</v>
      </c>
    </row>
    <row r="13" spans="1:5" x14ac:dyDescent="0.3">
      <c r="A13" s="228" t="str">
        <f>IF(ISBLANK(B13),"",MAX(A$6:A12)+1)</f>
        <v/>
      </c>
      <c r="B13" s="226"/>
      <c r="C13" s="226">
        <v>0</v>
      </c>
      <c r="D13" s="226">
        <v>0</v>
      </c>
      <c r="E13" s="226">
        <v>0</v>
      </c>
    </row>
    <row r="14" spans="1:5" x14ac:dyDescent="0.3">
      <c r="A14" s="228">
        <f>IF(ISBLANK(B14),"",MAX(A$6:A13)+1)</f>
        <v>7</v>
      </c>
      <c r="B14" s="229" t="s">
        <v>857</v>
      </c>
      <c r="C14" s="236">
        <v>0</v>
      </c>
      <c r="D14" s="236">
        <v>0</v>
      </c>
      <c r="E14" s="236">
        <v>0</v>
      </c>
    </row>
    <row r="15" spans="1:5" x14ac:dyDescent="0.3">
      <c r="A15" s="228" t="str">
        <f>IF(ISBLANK(B15),"",MAX(A$6:A14)+1)</f>
        <v/>
      </c>
      <c r="B15" s="226"/>
      <c r="C15" s="226">
        <v>0</v>
      </c>
      <c r="D15" s="226">
        <v>0</v>
      </c>
      <c r="E15" s="226">
        <v>0</v>
      </c>
    </row>
    <row r="16" spans="1:5" x14ac:dyDescent="0.3">
      <c r="A16" s="228">
        <f>IF(ISBLANK(B16),"",MAX(A$6:A15)+1)</f>
        <v>8</v>
      </c>
      <c r="B16" s="229" t="s">
        <v>858</v>
      </c>
      <c r="C16" s="236">
        <v>0</v>
      </c>
      <c r="D16" s="236">
        <v>0</v>
      </c>
      <c r="E16" s="236">
        <v>0</v>
      </c>
    </row>
    <row r="17" spans="1:5" x14ac:dyDescent="0.3">
      <c r="A17" s="228">
        <f>IF(ISBLANK(B17),"",MAX(A$6:A16)+1)</f>
        <v>9</v>
      </c>
      <c r="B17" s="230" t="s">
        <v>859</v>
      </c>
      <c r="C17" s="232">
        <v>0</v>
      </c>
      <c r="D17" s="232">
        <v>0</v>
      </c>
      <c r="E17" s="232">
        <v>0</v>
      </c>
    </row>
    <row r="18" spans="1:5" x14ac:dyDescent="0.3">
      <c r="A18" s="228">
        <f>IF(ISBLANK(B18),"",MAX(A$6:A17)+1)</f>
        <v>10</v>
      </c>
      <c r="B18" s="230" t="s">
        <v>860</v>
      </c>
      <c r="C18" s="232">
        <v>0</v>
      </c>
      <c r="D18" s="232">
        <v>0</v>
      </c>
      <c r="E18" s="232">
        <v>0</v>
      </c>
    </row>
    <row r="19" spans="1:5" x14ac:dyDescent="0.3">
      <c r="A19" s="228">
        <f>IF(ISBLANK(B19),"",MAX(A$6:A18)+1)</f>
        <v>11</v>
      </c>
      <c r="B19" s="230" t="s">
        <v>861</v>
      </c>
      <c r="C19" s="232">
        <v>0</v>
      </c>
      <c r="D19" s="232">
        <v>0</v>
      </c>
      <c r="E19" s="232">
        <v>0</v>
      </c>
    </row>
    <row r="20" spans="1:5" x14ac:dyDescent="0.3">
      <c r="A20" s="228">
        <f>IF(ISBLANK(B20),"",MAX(A$6:A19)+1)</f>
        <v>12</v>
      </c>
      <c r="B20" s="230" t="s">
        <v>862</v>
      </c>
      <c r="C20" s="233">
        <v>0</v>
      </c>
      <c r="D20" s="233">
        <v>0</v>
      </c>
      <c r="E20" s="233">
        <v>0</v>
      </c>
    </row>
    <row r="21" spans="1:5" x14ac:dyDescent="0.3">
      <c r="A21" s="228">
        <f>IF(ISBLANK(B21),"",MAX(A$6:A20)+1)</f>
        <v>13</v>
      </c>
      <c r="B21" s="234" t="s">
        <v>863</v>
      </c>
      <c r="C21" s="235">
        <v>0</v>
      </c>
      <c r="D21" s="235">
        <v>0</v>
      </c>
      <c r="E21" s="235">
        <v>0</v>
      </c>
    </row>
    <row r="22" spans="1:5" x14ac:dyDescent="0.3">
      <c r="A22" s="228" t="str">
        <f>IF(ISBLANK(B22),"",MAX(A$6:A21)+1)</f>
        <v/>
      </c>
      <c r="B22" s="237"/>
      <c r="C22" s="238">
        <v>0</v>
      </c>
      <c r="D22" s="238">
        <v>0</v>
      </c>
      <c r="E22" s="238">
        <v>0</v>
      </c>
    </row>
    <row r="23" spans="1:5" x14ac:dyDescent="0.3">
      <c r="A23" s="228">
        <f>IF(ISBLANK(B23),"",MAX(A$6:A22)+1)</f>
        <v>14</v>
      </c>
      <c r="B23" s="239" t="s">
        <v>864</v>
      </c>
      <c r="C23" s="231">
        <v>0</v>
      </c>
      <c r="D23" s="231">
        <v>-19839610.003977939</v>
      </c>
      <c r="E23" s="231">
        <v>0</v>
      </c>
    </row>
    <row r="24" spans="1:5" x14ac:dyDescent="0.3">
      <c r="A24" s="228">
        <f>IF(ISBLANK(B24),"",MAX(A$6:A23)+1)</f>
        <v>15</v>
      </c>
      <c r="B24" s="237" t="s">
        <v>865</v>
      </c>
      <c r="C24" s="232">
        <v>0</v>
      </c>
      <c r="D24" s="232">
        <v>0</v>
      </c>
      <c r="E24" s="232">
        <v>0</v>
      </c>
    </row>
    <row r="25" spans="1:5" x14ac:dyDescent="0.3">
      <c r="A25" s="228">
        <f>IF(ISBLANK(B25),"",MAX(A$6:A24)+1)</f>
        <v>16</v>
      </c>
      <c r="B25" s="237" t="s">
        <v>866</v>
      </c>
      <c r="C25" s="232">
        <v>0</v>
      </c>
      <c r="D25" s="232">
        <v>0</v>
      </c>
      <c r="E25" s="232">
        <v>0</v>
      </c>
    </row>
    <row r="26" spans="1:5" x14ac:dyDescent="0.3">
      <c r="A26" s="228">
        <f>IF(ISBLANK(B26),"",MAX(A$6:A25)+1)</f>
        <v>17</v>
      </c>
      <c r="B26" s="237" t="s">
        <v>867</v>
      </c>
      <c r="C26" s="232">
        <v>0</v>
      </c>
      <c r="D26" s="232">
        <v>0</v>
      </c>
      <c r="E26" s="232">
        <v>0</v>
      </c>
    </row>
    <row r="27" spans="1:5" x14ac:dyDescent="0.3">
      <c r="A27" s="228">
        <f>IF(ISBLANK(B27),"",MAX(A$6:A26)+1)</f>
        <v>18</v>
      </c>
      <c r="B27" s="237" t="s">
        <v>868</v>
      </c>
      <c r="C27" s="232">
        <v>0</v>
      </c>
      <c r="D27" s="232">
        <v>0</v>
      </c>
      <c r="E27" s="232">
        <v>0</v>
      </c>
    </row>
    <row r="28" spans="1:5" x14ac:dyDescent="0.3">
      <c r="A28" s="228">
        <f>IF(ISBLANK(B28),"",MAX(A$6:A27)+1)</f>
        <v>19</v>
      </c>
      <c r="B28" s="237" t="s">
        <v>869</v>
      </c>
      <c r="C28" s="232">
        <v>0</v>
      </c>
      <c r="D28" s="232">
        <v>0</v>
      </c>
      <c r="E28" s="232">
        <v>0</v>
      </c>
    </row>
    <row r="29" spans="1:5" x14ac:dyDescent="0.3">
      <c r="A29" s="228">
        <f>IF(ISBLANK(B29),"",MAX(A$6:A28)+1)</f>
        <v>20</v>
      </c>
      <c r="B29" s="237" t="s">
        <v>870</v>
      </c>
      <c r="C29" s="232">
        <v>0</v>
      </c>
      <c r="D29" s="232">
        <v>0</v>
      </c>
      <c r="E29" s="232">
        <v>0</v>
      </c>
    </row>
    <row r="30" spans="1:5" x14ac:dyDescent="0.3">
      <c r="A30" s="228">
        <f>IF(ISBLANK(B30),"",MAX(A$6:A29)+1)</f>
        <v>21</v>
      </c>
      <c r="B30" s="237" t="s">
        <v>871</v>
      </c>
      <c r="C30" s="232">
        <v>-674736.04151016474</v>
      </c>
      <c r="D30" s="232">
        <v>0</v>
      </c>
      <c r="E30" s="232">
        <v>0</v>
      </c>
    </row>
    <row r="31" spans="1:5" x14ac:dyDescent="0.3">
      <c r="A31" s="228">
        <f>IF(ISBLANK(B31),"",MAX(A$6:A30)+1)</f>
        <v>22</v>
      </c>
      <c r="B31" s="237" t="s">
        <v>872</v>
      </c>
      <c r="C31" s="232">
        <v>0</v>
      </c>
      <c r="D31" s="232">
        <v>0</v>
      </c>
      <c r="E31" s="232">
        <v>0</v>
      </c>
    </row>
    <row r="32" spans="1:5" x14ac:dyDescent="0.3">
      <c r="A32" s="228">
        <f>IF(ISBLANK(B32),"",MAX(A$6:A31)+1)</f>
        <v>23</v>
      </c>
      <c r="B32" s="240" t="s">
        <v>873</v>
      </c>
      <c r="C32" s="232">
        <v>0</v>
      </c>
      <c r="D32" s="232">
        <v>0</v>
      </c>
      <c r="E32" s="232">
        <v>0</v>
      </c>
    </row>
    <row r="33" spans="1:5" x14ac:dyDescent="0.3">
      <c r="A33" s="228">
        <f>IF(ISBLANK(B33),"",MAX(A$6:A32)+1)</f>
        <v>24</v>
      </c>
      <c r="B33" s="237" t="s">
        <v>874</v>
      </c>
      <c r="C33" s="232">
        <v>0</v>
      </c>
      <c r="D33" s="232">
        <v>0</v>
      </c>
      <c r="E33" s="232">
        <v>-764746.88170834072</v>
      </c>
    </row>
    <row r="34" spans="1:5" x14ac:dyDescent="0.3">
      <c r="A34" s="228">
        <f>IF(ISBLANK(B34),"",MAX(A$6:A33)+1)</f>
        <v>25</v>
      </c>
      <c r="B34" s="226" t="s">
        <v>875</v>
      </c>
      <c r="C34" s="232">
        <v>0</v>
      </c>
      <c r="D34" s="232">
        <v>0</v>
      </c>
      <c r="E34" s="232">
        <v>0</v>
      </c>
    </row>
    <row r="35" spans="1:5" x14ac:dyDescent="0.3">
      <c r="A35" s="228">
        <f>IF(ISBLANK(B35),"",MAX(A$6:A34)+1)</f>
        <v>26</v>
      </c>
      <c r="B35" s="237" t="s">
        <v>876</v>
      </c>
      <c r="C35" s="232">
        <v>0</v>
      </c>
      <c r="D35" s="232">
        <v>0</v>
      </c>
      <c r="E35" s="232">
        <v>0</v>
      </c>
    </row>
    <row r="36" spans="1:5" x14ac:dyDescent="0.3">
      <c r="A36" s="228">
        <f>IF(ISBLANK(B36),"",MAX(A$6:A35)+1)</f>
        <v>27</v>
      </c>
      <c r="B36" s="237" t="s">
        <v>877</v>
      </c>
      <c r="C36" s="232">
        <v>141694.56871715188</v>
      </c>
      <c r="D36" s="232">
        <v>4166318.1008353233</v>
      </c>
      <c r="E36" s="232">
        <v>160596.84515875578</v>
      </c>
    </row>
    <row r="37" spans="1:5" x14ac:dyDescent="0.3">
      <c r="A37" s="228">
        <f>IF(ISBLANK(B37),"",MAX(A$6:A36)+1)</f>
        <v>28</v>
      </c>
      <c r="B37" s="226" t="s">
        <v>878</v>
      </c>
      <c r="C37" s="232">
        <v>70781.511395603418</v>
      </c>
      <c r="D37" s="232">
        <v>0</v>
      </c>
      <c r="E37" s="232">
        <v>0</v>
      </c>
    </row>
    <row r="38" spans="1:5" x14ac:dyDescent="0.3">
      <c r="A38" s="228">
        <f>IF(ISBLANK(B38),"",MAX(A$6:A37)+1)</f>
        <v>29</v>
      </c>
      <c r="B38" s="234" t="s">
        <v>879</v>
      </c>
      <c r="C38" s="241">
        <v>-462259.96139752865</v>
      </c>
      <c r="D38" s="241">
        <v>-15673291.903142452</v>
      </c>
      <c r="E38" s="241">
        <v>-604150.03654956818</v>
      </c>
    </row>
    <row r="39" spans="1:5" x14ac:dyDescent="0.3">
      <c r="A39" s="228" t="str">
        <f>IF(ISBLANK(B39),"",MAX(A$6:A38)+1)</f>
        <v/>
      </c>
      <c r="B39" s="226"/>
      <c r="C39" s="242">
        <v>0</v>
      </c>
      <c r="D39" s="242">
        <v>0</v>
      </c>
      <c r="E39" s="242">
        <v>0</v>
      </c>
    </row>
    <row r="40" spans="1:5" x14ac:dyDescent="0.3">
      <c r="A40" s="228">
        <f>IF(ISBLANK(B40),"",MAX(A$6:A39)+1)</f>
        <v>30</v>
      </c>
      <c r="B40" s="226" t="s">
        <v>880</v>
      </c>
      <c r="C40" s="231">
        <v>462259.96139752865</v>
      </c>
      <c r="D40" s="231">
        <v>15673291.903142452</v>
      </c>
      <c r="E40" s="231">
        <v>604150.03654956818</v>
      </c>
    </row>
    <row r="41" spans="1:5" x14ac:dyDescent="0.3">
      <c r="A41" s="228" t="str">
        <f>IF(ISBLANK(B41),"",MAX(A$6:A40)+1)</f>
        <v/>
      </c>
      <c r="B41" s="237"/>
      <c r="C41" s="243">
        <v>0</v>
      </c>
      <c r="D41" s="243">
        <v>0</v>
      </c>
      <c r="E41" s="243">
        <v>0</v>
      </c>
    </row>
    <row r="42" spans="1:5" x14ac:dyDescent="0.3">
      <c r="A42" s="228">
        <f>IF(ISBLANK(B42),"",MAX(A$6:A41)+1)</f>
        <v>31</v>
      </c>
      <c r="B42" s="226" t="s">
        <v>881</v>
      </c>
      <c r="C42" s="242">
        <v>-11744070.249810219</v>
      </c>
      <c r="D42" s="242">
        <v>0</v>
      </c>
      <c r="E42" s="242">
        <v>0</v>
      </c>
    </row>
    <row r="43" spans="1:5" x14ac:dyDescent="0.3">
      <c r="A43" s="228" t="str">
        <f>IF(ISBLANK(B43),"",MAX(A$6:A42)+1)</f>
        <v/>
      </c>
      <c r="B43" s="226"/>
      <c r="C43" s="226">
        <v>0</v>
      </c>
      <c r="D43" s="226">
        <v>0</v>
      </c>
      <c r="E43" s="226">
        <v>0</v>
      </c>
    </row>
    <row r="44" spans="1:5" x14ac:dyDescent="0.3">
      <c r="A44" s="228">
        <f>IF(ISBLANK(B44),"",MAX(A$6:A43)+1)</f>
        <v>32</v>
      </c>
      <c r="B44" s="226" t="s">
        <v>711</v>
      </c>
      <c r="C44" s="244">
        <v>2.1151160244308603E-4</v>
      </c>
      <c r="D44" s="244">
        <v>2.8407059853797559E-3</v>
      </c>
      <c r="E44" s="244">
        <v>1.094991808676532E-4</v>
      </c>
    </row>
    <row r="45" spans="1:5" x14ac:dyDescent="0.3">
      <c r="A45" s="228" t="str">
        <f>IF(ISBLANK(B45),"",MAX(A$6:A44)+1)</f>
        <v/>
      </c>
      <c r="B45" s="226"/>
      <c r="C45" s="226">
        <v>0</v>
      </c>
      <c r="D45" s="226">
        <v>0</v>
      </c>
      <c r="E45" s="226">
        <v>0</v>
      </c>
    </row>
    <row r="46" spans="1:5" x14ac:dyDescent="0.3">
      <c r="A46" s="228">
        <f>IF(ISBLANK(B46),"",MAX(A$6:A45)+1)</f>
        <v>33</v>
      </c>
      <c r="B46" s="226" t="s">
        <v>882</v>
      </c>
      <c r="C46" s="226">
        <v>0</v>
      </c>
      <c r="D46" s="226">
        <v>0</v>
      </c>
      <c r="E46" s="226">
        <v>0</v>
      </c>
    </row>
    <row r="47" spans="1:5" x14ac:dyDescent="0.3">
      <c r="A47" s="228">
        <f>IF(ISBLANK(B47),"",MAX(A$6:A46)+1)</f>
        <v>34</v>
      </c>
      <c r="B47" s="245" t="s">
        <v>883</v>
      </c>
      <c r="C47" s="246">
        <v>-12570459.893678665</v>
      </c>
      <c r="D47" s="246">
        <v>0</v>
      </c>
      <c r="E47" s="246">
        <v>0</v>
      </c>
    </row>
    <row r="48" spans="1:5" x14ac:dyDescent="0.3">
      <c r="A48" s="228">
        <f>IF(ISBLANK(B48),"",MAX(A$6:A47)+1)</f>
        <v>35</v>
      </c>
      <c r="B48" s="245" t="s">
        <v>884</v>
      </c>
      <c r="C48" s="232">
        <v>807002.30288124084</v>
      </c>
      <c r="D48" s="232">
        <v>0</v>
      </c>
      <c r="E48" s="232">
        <v>0</v>
      </c>
    </row>
    <row r="49" spans="1:5" x14ac:dyDescent="0.3">
      <c r="A49" s="228">
        <f>IF(ISBLANK(B49),"",MAX(A$6:A47)+1)</f>
        <v>35</v>
      </c>
      <c r="B49" s="239" t="s">
        <v>885</v>
      </c>
      <c r="C49" s="232">
        <v>0</v>
      </c>
      <c r="D49" s="232">
        <v>0</v>
      </c>
      <c r="E49" s="232">
        <v>0</v>
      </c>
    </row>
    <row r="50" spans="1:5" x14ac:dyDescent="0.3">
      <c r="A50" s="228">
        <f>IF(ISBLANK(B50),"",MAX(A$6:A48)+1)</f>
        <v>36</v>
      </c>
      <c r="B50" s="226" t="s">
        <v>886</v>
      </c>
      <c r="C50" s="232">
        <v>0</v>
      </c>
      <c r="D50" s="232">
        <v>0</v>
      </c>
      <c r="E50" s="232">
        <v>0</v>
      </c>
    </row>
    <row r="51" spans="1:5" x14ac:dyDescent="0.3">
      <c r="A51" s="228">
        <f>IF(ISBLANK(B51),"",MAX(A$6:A50)+1)</f>
        <v>37</v>
      </c>
      <c r="B51" s="226" t="s">
        <v>887</v>
      </c>
      <c r="C51" s="232">
        <v>19387.340987205505</v>
      </c>
      <c r="D51" s="232">
        <v>0</v>
      </c>
      <c r="E51" s="232">
        <v>0</v>
      </c>
    </row>
    <row r="52" spans="1:5" x14ac:dyDescent="0.3">
      <c r="A52" s="228">
        <f>IF(ISBLANK(B52),"",MAX(A$6:A51)+1)</f>
        <v>38</v>
      </c>
      <c r="B52" s="226" t="s">
        <v>888</v>
      </c>
      <c r="C52" s="232">
        <v>0</v>
      </c>
      <c r="D52" s="232">
        <v>0</v>
      </c>
      <c r="E52" s="232">
        <v>0</v>
      </c>
    </row>
    <row r="53" spans="1:5" x14ac:dyDescent="0.3">
      <c r="A53" s="228">
        <f>IF(ISBLANK(B53),"",MAX(A$6:A52)+1)</f>
        <v>39</v>
      </c>
      <c r="B53" s="226" t="s">
        <v>889</v>
      </c>
      <c r="C53" s="232">
        <v>0</v>
      </c>
      <c r="D53" s="232">
        <v>0</v>
      </c>
      <c r="E53" s="232">
        <v>0</v>
      </c>
    </row>
    <row r="54" spans="1:5" ht="15" thickBot="1" x14ac:dyDescent="0.35">
      <c r="A54" s="228">
        <f>IF(ISBLANK(B54),"",MAX(A$6:A53)+1)</f>
        <v>40</v>
      </c>
      <c r="B54" s="247" t="s">
        <v>774</v>
      </c>
      <c r="C54" s="248">
        <v>-11744070.249810219</v>
      </c>
      <c r="D54" s="248">
        <v>0</v>
      </c>
      <c r="E54" s="248">
        <v>0</v>
      </c>
    </row>
    <row r="55" spans="1:5" ht="15" thickTop="1" x14ac:dyDescent="0.3">
      <c r="A55" s="228" t="str">
        <f>IF(ISBLANK(B55),"",MAX(A$6:A54)+1)</f>
        <v/>
      </c>
      <c r="C55" s="156">
        <v>0</v>
      </c>
      <c r="D55" s="156">
        <v>0</v>
      </c>
      <c r="E55" s="156">
        <v>0</v>
      </c>
    </row>
    <row r="56" spans="1:5" x14ac:dyDescent="0.3">
      <c r="A56" s="228">
        <f>IF(ISBLANK(B56),"",MAX(A$6:A55)+1)</f>
        <v>41</v>
      </c>
      <c r="B56" s="249" t="s">
        <v>890</v>
      </c>
      <c r="C56" s="156">
        <v>0</v>
      </c>
      <c r="D56" s="156">
        <v>0</v>
      </c>
      <c r="E56" s="156">
        <v>0</v>
      </c>
    </row>
    <row r="57" spans="1:5" x14ac:dyDescent="0.3">
      <c r="A57" s="228">
        <f>IF(ISBLANK(B57),"",MAX(A$6:A56)+1)</f>
        <v>42</v>
      </c>
      <c r="B57" s="157" t="s">
        <v>891</v>
      </c>
      <c r="C57" s="246">
        <v>0</v>
      </c>
      <c r="D57" s="246">
        <v>0</v>
      </c>
      <c r="E57" s="246">
        <v>0</v>
      </c>
    </row>
    <row r="58" spans="1:5" x14ac:dyDescent="0.3">
      <c r="A58" s="228">
        <f>IF(ISBLANK(B58),"",MAX(A$6:A57)+1)</f>
        <v>43</v>
      </c>
      <c r="B58" s="157" t="s">
        <v>892</v>
      </c>
      <c r="C58" s="232">
        <v>13663432.914089918</v>
      </c>
      <c r="D58" s="232">
        <v>0</v>
      </c>
      <c r="E58" s="232">
        <v>0</v>
      </c>
    </row>
    <row r="59" spans="1:5" x14ac:dyDescent="0.3">
      <c r="A59" s="228">
        <f>IF(ISBLANK(B59),"",MAX(A$6:A58)+1)</f>
        <v>44</v>
      </c>
      <c r="B59" s="157" t="s">
        <v>893</v>
      </c>
      <c r="C59" s="205">
        <v>-26233892.807767868</v>
      </c>
      <c r="D59" s="205">
        <v>0</v>
      </c>
      <c r="E59" s="205">
        <v>0</v>
      </c>
    </row>
    <row r="60" spans="1:5" x14ac:dyDescent="0.3">
      <c r="A60" s="228">
        <f>IF(ISBLANK(B60),"",MAX(A$6:A59)+1)</f>
        <v>45</v>
      </c>
      <c r="B60" s="157" t="s">
        <v>894</v>
      </c>
      <c r="C60" s="205">
        <v>0</v>
      </c>
      <c r="D60" s="205">
        <v>0</v>
      </c>
      <c r="E60" s="205">
        <v>0</v>
      </c>
    </row>
    <row r="61" spans="1:5" x14ac:dyDescent="0.3">
      <c r="A61" s="228">
        <f>IF(ISBLANK(B61),"",MAX(A$6:A60)+1)</f>
        <v>46</v>
      </c>
      <c r="B61" s="157" t="s">
        <v>895</v>
      </c>
      <c r="C61" s="205">
        <v>0</v>
      </c>
      <c r="D61" s="205">
        <v>0</v>
      </c>
      <c r="E61" s="205">
        <v>0</v>
      </c>
    </row>
    <row r="62" spans="1:5" x14ac:dyDescent="0.3">
      <c r="A62" s="228">
        <f>IF(ISBLANK(B62),"",MAX(A$6:A61)+1)</f>
        <v>47</v>
      </c>
      <c r="B62" s="234" t="s">
        <v>403</v>
      </c>
      <c r="C62" s="250">
        <v>-12570459.893678665</v>
      </c>
      <c r="D62" s="250">
        <v>0</v>
      </c>
      <c r="E62" s="250">
        <v>0</v>
      </c>
    </row>
    <row r="63" spans="1:5" x14ac:dyDescent="0.3">
      <c r="A63" s="228" t="str">
        <f>IF(ISBLANK(B63),"",MAX(A$6:A62)+1)</f>
        <v/>
      </c>
      <c r="C63" s="206">
        <v>0</v>
      </c>
      <c r="D63" s="206">
        <v>0</v>
      </c>
      <c r="E63" s="206">
        <v>0</v>
      </c>
    </row>
    <row r="64" spans="1:5" x14ac:dyDescent="0.3">
      <c r="A64" s="228">
        <f>IF(ISBLANK(B64),"",MAX(A$6:A63)+1)</f>
        <v>48</v>
      </c>
      <c r="B64" s="249" t="s">
        <v>896</v>
      </c>
      <c r="C64" s="156">
        <v>0</v>
      </c>
      <c r="D64" s="156">
        <v>0</v>
      </c>
      <c r="E64" s="156">
        <v>0</v>
      </c>
    </row>
    <row r="65" spans="1:5" x14ac:dyDescent="0.3">
      <c r="A65" s="228">
        <f>IF(ISBLANK(B65),"",MAX(A$6:A64)+1)</f>
        <v>49</v>
      </c>
      <c r="B65" s="157" t="s">
        <v>891</v>
      </c>
      <c r="C65" s="246">
        <v>0</v>
      </c>
      <c r="D65" s="246">
        <v>0</v>
      </c>
      <c r="E65" s="246">
        <v>0</v>
      </c>
    </row>
    <row r="66" spans="1:5" x14ac:dyDescent="0.3">
      <c r="A66" s="228">
        <f>IF(ISBLANK(B66),"",MAX(A$6:A65)+1)</f>
        <v>50</v>
      </c>
      <c r="B66" s="157" t="s">
        <v>892</v>
      </c>
      <c r="C66" s="232">
        <v>-458156.51376914978</v>
      </c>
      <c r="D66" s="232">
        <v>0</v>
      </c>
      <c r="E66" s="232">
        <v>0</v>
      </c>
    </row>
    <row r="67" spans="1:5" x14ac:dyDescent="0.3">
      <c r="A67" s="228">
        <f>IF(ISBLANK(B67),"",MAX(A$6:A66)+1)</f>
        <v>51</v>
      </c>
      <c r="B67" s="157" t="s">
        <v>893</v>
      </c>
      <c r="C67" s="205">
        <v>1265158.8166503906</v>
      </c>
      <c r="D67" s="205">
        <v>0</v>
      </c>
      <c r="E67" s="205">
        <v>0</v>
      </c>
    </row>
    <row r="68" spans="1:5" x14ac:dyDescent="0.3">
      <c r="A68" s="228">
        <f>IF(ISBLANK(B68),"",MAX(A$6:A67)+1)</f>
        <v>52</v>
      </c>
      <c r="B68" s="157" t="s">
        <v>894</v>
      </c>
      <c r="C68" s="205">
        <v>0</v>
      </c>
      <c r="D68" s="205">
        <v>0</v>
      </c>
      <c r="E68" s="205">
        <v>0</v>
      </c>
    </row>
    <row r="69" spans="1:5" x14ac:dyDescent="0.3">
      <c r="A69" s="228">
        <f>IF(ISBLANK(B69),"",MAX(A$6:A68)+1)</f>
        <v>53</v>
      </c>
      <c r="B69" s="157" t="s">
        <v>895</v>
      </c>
      <c r="C69" s="205">
        <v>0</v>
      </c>
      <c r="D69" s="205">
        <v>0</v>
      </c>
      <c r="E69" s="205">
        <v>0</v>
      </c>
    </row>
    <row r="70" spans="1:5" x14ac:dyDescent="0.3">
      <c r="A70" s="228">
        <f>IF(ISBLANK(B70),"",MAX(A$6:A69)+1)</f>
        <v>54</v>
      </c>
      <c r="B70" s="234" t="s">
        <v>403</v>
      </c>
      <c r="C70" s="250">
        <v>807002.30288124084</v>
      </c>
      <c r="D70" s="250">
        <v>0</v>
      </c>
      <c r="E70" s="250">
        <v>0</v>
      </c>
    </row>
    <row r="71" spans="1:5" x14ac:dyDescent="0.3">
      <c r="A71" s="228" t="str">
        <f>IF(ISBLANK(B71),"",MAX(A$6:A70)+1)</f>
        <v/>
      </c>
      <c r="C71" s="205">
        <v>0</v>
      </c>
      <c r="D71" s="205">
        <v>0</v>
      </c>
      <c r="E71" s="205">
        <v>0</v>
      </c>
    </row>
    <row r="72" spans="1:5" x14ac:dyDescent="0.3">
      <c r="A72" s="228">
        <f>IF(ISBLANK(B72),"",MAX(A$6:A71)+1)</f>
        <v>55</v>
      </c>
      <c r="B72" s="249" t="s">
        <v>897</v>
      </c>
      <c r="C72" s="156">
        <v>0</v>
      </c>
      <c r="D72" s="156">
        <v>0</v>
      </c>
      <c r="E72" s="156">
        <v>0</v>
      </c>
    </row>
    <row r="73" spans="1:5" x14ac:dyDescent="0.3">
      <c r="A73" s="228">
        <f>IF(ISBLANK(B73),"",MAX(A$6:A72)+1)</f>
        <v>56</v>
      </c>
      <c r="B73" s="157" t="s">
        <v>891</v>
      </c>
      <c r="C73" s="246">
        <v>0</v>
      </c>
      <c r="D73" s="246">
        <v>0</v>
      </c>
      <c r="E73" s="246">
        <v>0</v>
      </c>
    </row>
    <row r="74" spans="1:5" x14ac:dyDescent="0.3">
      <c r="A74" s="228">
        <f>IF(ISBLANK(B74),"",MAX(A$6:A73)+1)</f>
        <v>57</v>
      </c>
      <c r="B74" s="157" t="s">
        <v>892</v>
      </c>
      <c r="C74" s="232">
        <v>0</v>
      </c>
      <c r="D74" s="232">
        <v>0</v>
      </c>
      <c r="E74" s="232">
        <v>0</v>
      </c>
    </row>
    <row r="75" spans="1:5" x14ac:dyDescent="0.3">
      <c r="A75" s="228">
        <f>IF(ISBLANK(B75),"",MAX(A$6:A74)+1)</f>
        <v>58</v>
      </c>
      <c r="B75" s="157" t="s">
        <v>893</v>
      </c>
      <c r="C75" s="205">
        <v>0</v>
      </c>
      <c r="D75" s="205">
        <v>0</v>
      </c>
      <c r="E75" s="205">
        <v>0</v>
      </c>
    </row>
    <row r="76" spans="1:5" x14ac:dyDescent="0.3">
      <c r="A76" s="228">
        <f>IF(ISBLANK(B76),"",MAX(A$6:A75)+1)</f>
        <v>59</v>
      </c>
      <c r="B76" s="157" t="s">
        <v>894</v>
      </c>
      <c r="C76" s="205">
        <v>0</v>
      </c>
      <c r="D76" s="205">
        <v>0</v>
      </c>
      <c r="E76" s="205">
        <v>0</v>
      </c>
    </row>
    <row r="77" spans="1:5" x14ac:dyDescent="0.3">
      <c r="A77" s="228">
        <f>IF(ISBLANK(B77),"",MAX(A$6:A76)+1)</f>
        <v>60</v>
      </c>
      <c r="B77" s="157" t="s">
        <v>895</v>
      </c>
      <c r="C77" s="205">
        <v>0</v>
      </c>
      <c r="D77" s="205">
        <v>0</v>
      </c>
      <c r="E77" s="205">
        <v>0</v>
      </c>
    </row>
    <row r="78" spans="1:5" x14ac:dyDescent="0.3">
      <c r="A78" s="228">
        <f>IF(ISBLANK(B78),"",MAX(A$6:A77)+1)</f>
        <v>61</v>
      </c>
      <c r="B78" s="234" t="s">
        <v>403</v>
      </c>
      <c r="C78" s="250">
        <v>0</v>
      </c>
      <c r="D78" s="250">
        <v>0</v>
      </c>
      <c r="E78" s="250">
        <v>0</v>
      </c>
    </row>
    <row r="79" spans="1:5" x14ac:dyDescent="0.3">
      <c r="A79" s="228" t="str">
        <f>IF(ISBLANK(B79),"",MAX(A$6:A78)+1)</f>
        <v/>
      </c>
      <c r="C79" s="156">
        <v>0</v>
      </c>
      <c r="D79" s="156">
        <v>0</v>
      </c>
      <c r="E79" s="156">
        <v>0</v>
      </c>
    </row>
    <row r="80" spans="1:5" x14ac:dyDescent="0.3">
      <c r="A80" s="228">
        <f>IF(ISBLANK(B80),"",MAX(A$6:A79)+1)</f>
        <v>62</v>
      </c>
      <c r="B80" s="249" t="s">
        <v>898</v>
      </c>
      <c r="C80" s="156">
        <v>0</v>
      </c>
      <c r="D80" s="156">
        <v>0</v>
      </c>
      <c r="E80" s="156">
        <v>0</v>
      </c>
    </row>
    <row r="81" spans="1:5" x14ac:dyDescent="0.3">
      <c r="A81" s="228">
        <f>IF(ISBLANK(B81),"",MAX(A$6:A80)+1)</f>
        <v>63</v>
      </c>
      <c r="B81" s="157" t="s">
        <v>891</v>
      </c>
      <c r="C81" s="246">
        <v>0</v>
      </c>
      <c r="D81" s="246">
        <v>0</v>
      </c>
      <c r="E81" s="246">
        <v>0</v>
      </c>
    </row>
    <row r="82" spans="1:5" x14ac:dyDescent="0.3">
      <c r="A82" s="228">
        <f>IF(ISBLANK(B82),"",MAX(A$6:A81)+1)</f>
        <v>64</v>
      </c>
      <c r="B82" s="157" t="s">
        <v>892</v>
      </c>
      <c r="C82" s="232">
        <v>0</v>
      </c>
      <c r="D82" s="232">
        <v>0</v>
      </c>
      <c r="E82" s="232">
        <v>0</v>
      </c>
    </row>
    <row r="83" spans="1:5" x14ac:dyDescent="0.3">
      <c r="A83" s="228">
        <f>IF(ISBLANK(B83),"",MAX(A$6:A82)+1)</f>
        <v>65</v>
      </c>
      <c r="B83" s="157" t="s">
        <v>893</v>
      </c>
      <c r="C83" s="205">
        <v>0</v>
      </c>
      <c r="D83" s="205">
        <v>0</v>
      </c>
      <c r="E83" s="205">
        <v>0</v>
      </c>
    </row>
    <row r="84" spans="1:5" x14ac:dyDescent="0.3">
      <c r="A84" s="228">
        <f>IF(ISBLANK(B84),"",MAX(A$6:A83)+1)</f>
        <v>66</v>
      </c>
      <c r="B84" s="157" t="s">
        <v>894</v>
      </c>
      <c r="C84" s="205">
        <v>0</v>
      </c>
      <c r="D84" s="205">
        <v>0</v>
      </c>
      <c r="E84" s="205">
        <v>0</v>
      </c>
    </row>
    <row r="85" spans="1:5" x14ac:dyDescent="0.3">
      <c r="A85" s="228">
        <f>IF(ISBLANK(B85),"",MAX(A$6:A84)+1)</f>
        <v>67</v>
      </c>
      <c r="B85" s="157" t="s">
        <v>895</v>
      </c>
      <c r="C85" s="205">
        <v>0</v>
      </c>
      <c r="D85" s="205">
        <v>0</v>
      </c>
      <c r="E85" s="205">
        <v>0</v>
      </c>
    </row>
    <row r="86" spans="1:5" x14ac:dyDescent="0.3">
      <c r="A86" s="228">
        <f>IF(ISBLANK(B86),"",MAX(A$6:A85)+1)</f>
        <v>68</v>
      </c>
      <c r="B86" s="234" t="s">
        <v>403</v>
      </c>
      <c r="C86" s="250">
        <v>0</v>
      </c>
      <c r="D86" s="250">
        <v>0</v>
      </c>
      <c r="E86" s="250">
        <v>0</v>
      </c>
    </row>
    <row r="87" spans="1:5" x14ac:dyDescent="0.3">
      <c r="A87" s="228" t="str">
        <f>IF(ISBLANK(B87),"",MAX(A$6:A86)+1)</f>
        <v/>
      </c>
      <c r="B87" s="157"/>
      <c r="C87" s="156">
        <v>0</v>
      </c>
      <c r="D87" s="156">
        <v>0</v>
      </c>
      <c r="E87" s="156">
        <v>0</v>
      </c>
    </row>
    <row r="88" spans="1:5" x14ac:dyDescent="0.3">
      <c r="A88" s="228">
        <f>IF(ISBLANK(B88),"",MAX(A$6:A87)+1)</f>
        <v>69</v>
      </c>
      <c r="B88" s="249" t="s">
        <v>899</v>
      </c>
      <c r="C88" s="156">
        <v>0</v>
      </c>
      <c r="D88" s="156">
        <v>0</v>
      </c>
      <c r="E88" s="156">
        <v>0</v>
      </c>
    </row>
    <row r="89" spans="1:5" x14ac:dyDescent="0.3">
      <c r="A89" s="228">
        <f>IF(ISBLANK(B89),"",MAX(A$6:A88)+1)</f>
        <v>70</v>
      </c>
      <c r="B89" s="157" t="s">
        <v>891</v>
      </c>
      <c r="C89" s="246">
        <v>-12282.776125967503</v>
      </c>
      <c r="D89" s="246">
        <v>0</v>
      </c>
      <c r="E89" s="246">
        <v>0</v>
      </c>
    </row>
    <row r="90" spans="1:5" x14ac:dyDescent="0.3">
      <c r="A90" s="228">
        <f>IF(ISBLANK(B90),"",MAX(A$6:A89)+1)</f>
        <v>71</v>
      </c>
      <c r="B90" s="157" t="s">
        <v>892</v>
      </c>
      <c r="C90" s="232">
        <v>-188065.24209234118</v>
      </c>
      <c r="D90" s="232">
        <v>0</v>
      </c>
      <c r="E90" s="232">
        <v>0</v>
      </c>
    </row>
    <row r="91" spans="1:5" x14ac:dyDescent="0.3">
      <c r="A91" s="228">
        <f>IF(ISBLANK(B91),"",MAX(A$6:A90)+1)</f>
        <v>72</v>
      </c>
      <c r="B91" s="157" t="s">
        <v>893</v>
      </c>
      <c r="C91" s="205">
        <v>222064.98561382294</v>
      </c>
      <c r="D91" s="205">
        <v>0</v>
      </c>
      <c r="E91" s="205">
        <v>0</v>
      </c>
    </row>
    <row r="92" spans="1:5" x14ac:dyDescent="0.3">
      <c r="A92" s="228">
        <f>IF(ISBLANK(B92),"",MAX(A$6:A91)+1)</f>
        <v>73</v>
      </c>
      <c r="B92" s="157" t="s">
        <v>894</v>
      </c>
      <c r="C92" s="205">
        <v>-315.52350665815175</v>
      </c>
      <c r="D92" s="205">
        <v>0</v>
      </c>
      <c r="E92" s="205">
        <v>0</v>
      </c>
    </row>
    <row r="93" spans="1:5" x14ac:dyDescent="0.3">
      <c r="A93" s="228">
        <f>IF(ISBLANK(B93),"",MAX(A$6:A92)+1)</f>
        <v>74</v>
      </c>
      <c r="B93" s="157" t="s">
        <v>895</v>
      </c>
      <c r="C93" s="205">
        <v>-2014.1029015183449</v>
      </c>
      <c r="D93" s="205">
        <v>0</v>
      </c>
      <c r="E93" s="205">
        <v>0</v>
      </c>
    </row>
    <row r="94" spans="1:5" x14ac:dyDescent="0.3">
      <c r="A94" s="228">
        <f>IF(ISBLANK(B94),"",MAX(A$6:A93)+1)</f>
        <v>75</v>
      </c>
      <c r="B94" s="234" t="s">
        <v>403</v>
      </c>
      <c r="C94" s="250">
        <v>19387.340987205505</v>
      </c>
      <c r="D94" s="250">
        <v>0</v>
      </c>
      <c r="E94" s="250">
        <v>0</v>
      </c>
    </row>
    <row r="95" spans="1:5" x14ac:dyDescent="0.3">
      <c r="A95" s="228" t="str">
        <f>IF(ISBLANK(B95),"",MAX(A$6:A94)+1)</f>
        <v/>
      </c>
      <c r="B95" s="157"/>
      <c r="C95" s="205">
        <v>0</v>
      </c>
      <c r="D95" s="205">
        <v>0</v>
      </c>
      <c r="E95" s="205">
        <v>0</v>
      </c>
    </row>
    <row r="96" spans="1:5" x14ac:dyDescent="0.3">
      <c r="A96" s="228">
        <f>IF(ISBLANK(B96),"",MAX(A$6:A95)+1)</f>
        <v>76</v>
      </c>
      <c r="B96" s="249" t="s">
        <v>900</v>
      </c>
      <c r="C96" s="205">
        <v>0</v>
      </c>
      <c r="D96" s="205">
        <v>0</v>
      </c>
      <c r="E96" s="205">
        <v>0</v>
      </c>
    </row>
    <row r="97" spans="1:5" x14ac:dyDescent="0.3">
      <c r="A97" s="228">
        <f>IF(ISBLANK(B97),"",MAX(A$6:A96)+1)</f>
        <v>77</v>
      </c>
      <c r="B97" s="157" t="s">
        <v>891</v>
      </c>
      <c r="C97" s="246">
        <v>-12282.776126146317</v>
      </c>
      <c r="D97" s="246">
        <v>0</v>
      </c>
      <c r="E97" s="246">
        <v>0</v>
      </c>
    </row>
    <row r="98" spans="1:5" x14ac:dyDescent="0.3">
      <c r="A98" s="228">
        <f>IF(ISBLANK(B98),"",MAX(A$6:A97)+1)</f>
        <v>78</v>
      </c>
      <c r="B98" s="157" t="s">
        <v>892</v>
      </c>
      <c r="C98" s="232">
        <v>13017211.158228397</v>
      </c>
      <c r="D98" s="232">
        <v>0</v>
      </c>
      <c r="E98" s="232">
        <v>0</v>
      </c>
    </row>
    <row r="99" spans="1:5" x14ac:dyDescent="0.3">
      <c r="A99" s="228">
        <f>IF(ISBLANK(B99),"",MAX(A$6:A98)+1)</f>
        <v>79</v>
      </c>
      <c r="B99" s="157" t="s">
        <v>893</v>
      </c>
      <c r="C99" s="205">
        <v>-24746669.005503654</v>
      </c>
      <c r="D99" s="205">
        <v>0</v>
      </c>
      <c r="E99" s="205">
        <v>0</v>
      </c>
    </row>
    <row r="100" spans="1:5" x14ac:dyDescent="0.3">
      <c r="A100" s="228">
        <f>IF(ISBLANK(B100),"",MAX(A$6:A99)+1)</f>
        <v>80</v>
      </c>
      <c r="B100" s="157" t="s">
        <v>894</v>
      </c>
      <c r="C100" s="205">
        <v>-315.52350664138794</v>
      </c>
      <c r="D100" s="205">
        <v>0</v>
      </c>
      <c r="E100" s="205">
        <v>0</v>
      </c>
    </row>
    <row r="101" spans="1:5" x14ac:dyDescent="0.3">
      <c r="A101" s="228">
        <f>IF(ISBLANK(B101),"",MAX(A$6:A100)+1)</f>
        <v>81</v>
      </c>
      <c r="B101" s="157" t="s">
        <v>895</v>
      </c>
      <c r="C101" s="205">
        <v>-2014.1029015183449</v>
      </c>
      <c r="D101" s="205">
        <v>0</v>
      </c>
      <c r="E101" s="205">
        <v>0</v>
      </c>
    </row>
    <row r="102" spans="1:5" x14ac:dyDescent="0.3">
      <c r="A102" s="228">
        <f>IF(ISBLANK(B102),"",MAX(A$6:A101)+1)</f>
        <v>82</v>
      </c>
      <c r="B102" s="234" t="s">
        <v>403</v>
      </c>
      <c r="C102" s="250">
        <v>-11744070.249810219</v>
      </c>
      <c r="D102" s="250">
        <v>0</v>
      </c>
      <c r="E102" s="250">
        <v>0</v>
      </c>
    </row>
    <row r="103" spans="1:5" x14ac:dyDescent="0.3">
      <c r="A103" s="228" t="str">
        <f>IF(ISBLANK(B103),"",MAX(A$6:A102)+1)</f>
        <v/>
      </c>
      <c r="B103" s="239"/>
      <c r="C103" s="246">
        <v>0</v>
      </c>
      <c r="D103" s="246">
        <v>0</v>
      </c>
      <c r="E103" s="246">
        <v>0</v>
      </c>
    </row>
    <row r="104" spans="1:5" x14ac:dyDescent="0.3">
      <c r="A104" s="228">
        <f>IF(ISBLANK(B104),"",MAX(A$6:A102)+1)</f>
        <v>83</v>
      </c>
      <c r="B104" s="239" t="s">
        <v>901</v>
      </c>
      <c r="C104" s="246">
        <v>0</v>
      </c>
      <c r="D104" s="246">
        <v>0</v>
      </c>
      <c r="E104" s="246">
        <v>0</v>
      </c>
    </row>
    <row r="105" spans="1:5" x14ac:dyDescent="0.3">
      <c r="A105" s="228">
        <f>IF(ISBLANK(B105),"",MAX(A$6:A103)+1)</f>
        <v>83</v>
      </c>
      <c r="B105" s="226" t="s">
        <v>902</v>
      </c>
      <c r="C105" s="232">
        <v>0</v>
      </c>
      <c r="D105" s="232">
        <v>0</v>
      </c>
      <c r="E105" s="232">
        <v>0</v>
      </c>
    </row>
    <row r="106" spans="1:5" x14ac:dyDescent="0.3">
      <c r="A106" s="228">
        <f>IF(ISBLANK(B106),"",MAX(A$6:A105)+1)</f>
        <v>84</v>
      </c>
      <c r="B106" s="226" t="s">
        <v>903</v>
      </c>
      <c r="C106" s="232">
        <v>0</v>
      </c>
      <c r="D106" s="232">
        <v>0</v>
      </c>
      <c r="E106" s="232">
        <v>0</v>
      </c>
    </row>
    <row r="107" spans="1:5" x14ac:dyDescent="0.3">
      <c r="A107" s="228">
        <f>IF(ISBLANK(B107),"",MAX(A$6:A106)+1)</f>
        <v>85</v>
      </c>
      <c r="B107" s="226" t="s">
        <v>904</v>
      </c>
      <c r="C107" s="232">
        <v>0</v>
      </c>
      <c r="D107" s="232">
        <v>0</v>
      </c>
      <c r="E107" s="232">
        <v>0</v>
      </c>
    </row>
    <row r="108" spans="1:5" ht="15" thickBot="1" x14ac:dyDescent="0.35">
      <c r="A108" s="228">
        <f>IF(ISBLANK(B108),"",MAX(A$6:A107)+1)</f>
        <v>86</v>
      </c>
      <c r="B108" s="251" t="s">
        <v>774</v>
      </c>
      <c r="C108" s="252">
        <v>-11744070.249810219</v>
      </c>
      <c r="D108" s="252">
        <v>0</v>
      </c>
      <c r="E108" s="252">
        <v>0</v>
      </c>
    </row>
    <row r="109" spans="1:5" ht="15" thickTop="1" x14ac:dyDescent="0.3">
      <c r="A109" s="228" t="str">
        <f>IF(ISBLANK(B109),"",MAX(A$6:A108)+1)</f>
        <v/>
      </c>
    </row>
    <row r="110" spans="1:5" x14ac:dyDescent="0.3">
      <c r="A110" s="228">
        <f>IF(ISBLANK(B110),"",MAX(A$6:A109)+1)</f>
        <v>87</v>
      </c>
      <c r="B110" s="156" t="s">
        <v>905</v>
      </c>
      <c r="C110" s="207">
        <v>0</v>
      </c>
      <c r="D110" s="207">
        <v>0</v>
      </c>
      <c r="E110" s="207">
        <v>0</v>
      </c>
    </row>
    <row r="111" spans="1:5" x14ac:dyDescent="0.3">
      <c r="A111" s="228">
        <f>IF(ISBLANK(B111),"",MAX(A$6:A110)+1)</f>
        <v>88</v>
      </c>
      <c r="B111" s="156" t="s">
        <v>906</v>
      </c>
      <c r="C111" s="253">
        <v>-894898.15303558111</v>
      </c>
      <c r="D111" s="253">
        <v>0</v>
      </c>
      <c r="E111" s="253">
        <v>0</v>
      </c>
    </row>
    <row r="112" spans="1:5" x14ac:dyDescent="0.3">
      <c r="A112" s="228">
        <f>IF(ISBLANK(B112),"",MAX(A$6:A111)+1)</f>
        <v>89</v>
      </c>
      <c r="B112" s="156" t="s">
        <v>907</v>
      </c>
      <c r="C112" s="253">
        <v>-1357158.1144331098</v>
      </c>
      <c r="D112" s="253">
        <v>-15673291.903142452</v>
      </c>
      <c r="E112" s="253">
        <v>-604150.03654956818</v>
      </c>
    </row>
    <row r="113" spans="1:5" x14ac:dyDescent="0.3">
      <c r="A113" s="228">
        <f>IF(ISBLANK(B113),"",MAX(A$6:A112)+1)</f>
        <v>90</v>
      </c>
      <c r="B113" s="156" t="s">
        <v>908</v>
      </c>
      <c r="C113" s="208">
        <v>0</v>
      </c>
      <c r="D113" s="208">
        <v>0</v>
      </c>
      <c r="E113" s="208">
        <v>0</v>
      </c>
    </row>
    <row r="114" spans="1:5" x14ac:dyDescent="0.3">
      <c r="A114" s="228">
        <f>IF(ISBLANK(B114),"",MAX(A$6:A113)+1)</f>
        <v>91</v>
      </c>
      <c r="B114" s="156" t="s">
        <v>909</v>
      </c>
      <c r="C114" s="253">
        <v>-1806218.3026096076</v>
      </c>
      <c r="D114" s="253">
        <v>-20859313.588103041</v>
      </c>
      <c r="E114" s="253">
        <v>-804052.85274656117</v>
      </c>
    </row>
    <row r="115" spans="1:5" x14ac:dyDescent="0.3">
      <c r="A115" s="228">
        <f>IF(ISBLANK(B115),"",MAX(A$6:A114)+1)</f>
        <v>92</v>
      </c>
      <c r="B115" s="156" t="s">
        <v>910</v>
      </c>
      <c r="C115" s="209">
        <v>0</v>
      </c>
      <c r="D115" s="209">
        <v>0</v>
      </c>
      <c r="E115" s="209">
        <v>0</v>
      </c>
    </row>
    <row r="116" spans="1:5" x14ac:dyDescent="0.3">
      <c r="A116" s="228">
        <f>IF(ISBLANK(B116),"",MAX(A$6:A115)+1)</f>
        <v>93</v>
      </c>
      <c r="B116" s="156" t="s">
        <v>911</v>
      </c>
      <c r="C116" s="253">
        <v>-1780265.4668462723</v>
      </c>
      <c r="D116" s="253">
        <v>-20559594.36872296</v>
      </c>
      <c r="E116" s="253">
        <v>-792499.73560550809</v>
      </c>
    </row>
  </sheetData>
  <pageMargins left="0.7" right="0.7" top="0.75" bottom="0.75" header="0.3" footer="0.3"/>
  <customProperties>
    <customPr name="EpmWorksheetKeyString_GUID" r:id="rId1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03"/>
  <sheetViews>
    <sheetView zoomScale="85" zoomScaleNormal="85" workbookViewId="0">
      <pane xSplit="2" ySplit="7" topLeftCell="C8" activePane="bottomRight" state="frozen"/>
      <selection activeCell="D14" sqref="D14:E22"/>
      <selection pane="topRight" activeCell="D14" sqref="D14:E22"/>
      <selection pane="bottomLeft" activeCell="D14" sqref="D14:E22"/>
      <selection pane="bottomRight" activeCell="H47" sqref="H46:H47"/>
    </sheetView>
  </sheetViews>
  <sheetFormatPr defaultRowHeight="14.4" outlineLevelRow="1" x14ac:dyDescent="0.3"/>
  <cols>
    <col min="1" max="1" width="7.44140625" customWidth="1"/>
    <col min="2" max="2" width="80.109375" customWidth="1"/>
    <col min="3" max="3" width="4.44140625" style="43" customWidth="1"/>
    <col min="4" max="4" width="9.88671875" customWidth="1"/>
    <col min="5" max="5" width="16.88671875" bestFit="1" customWidth="1"/>
    <col min="7" max="7" width="15.33203125" bestFit="1" customWidth="1"/>
    <col min="8" max="8" width="13.33203125" bestFit="1" customWidth="1"/>
    <col min="9" max="9" width="12.5546875" bestFit="1" customWidth="1"/>
    <col min="11" max="12" width="14.33203125" bestFit="1" customWidth="1"/>
    <col min="13" max="13" width="14.5546875" bestFit="1" customWidth="1"/>
    <col min="14" max="14" width="12.5546875" bestFit="1" customWidth="1"/>
    <col min="15" max="15" width="9" bestFit="1" customWidth="1"/>
    <col min="16" max="16" width="14" bestFit="1" customWidth="1"/>
    <col min="17" max="17" width="32.5546875" bestFit="1" customWidth="1"/>
    <col min="19" max="19" width="12.33203125" bestFit="1" customWidth="1"/>
  </cols>
  <sheetData>
    <row r="1" spans="1:14" x14ac:dyDescent="0.3">
      <c r="A1" s="42" t="s">
        <v>225</v>
      </c>
    </row>
    <row r="2" spans="1:14" ht="15" thickBot="1" x14ac:dyDescent="0.35">
      <c r="A2" s="42" t="s">
        <v>706</v>
      </c>
      <c r="L2" s="44"/>
    </row>
    <row r="3" spans="1:14" ht="15" thickBot="1" x14ac:dyDescent="0.35">
      <c r="A3" s="42" t="s">
        <v>707</v>
      </c>
      <c r="E3" s="45">
        <f>E44</f>
        <v>0</v>
      </c>
      <c r="G3" s="46">
        <f>G44</f>
        <v>0</v>
      </c>
      <c r="H3" s="46">
        <f>H44</f>
        <v>0</v>
      </c>
      <c r="I3" s="46">
        <f>I44</f>
        <v>0</v>
      </c>
      <c r="K3" s="46">
        <f>K44</f>
        <v>0</v>
      </c>
    </row>
    <row r="4" spans="1:14" x14ac:dyDescent="0.3">
      <c r="A4" s="42"/>
    </row>
    <row r="5" spans="1:14" x14ac:dyDescent="0.3">
      <c r="A5" s="42"/>
      <c r="H5" s="47"/>
      <c r="J5" s="48" t="s">
        <v>708</v>
      </c>
    </row>
    <row r="6" spans="1:14" x14ac:dyDescent="0.3">
      <c r="J6" s="48">
        <f>+'COC, Def, ConvF'!M20</f>
        <v>0.75138099999999997</v>
      </c>
    </row>
    <row r="7" spans="1:14" ht="33.6" x14ac:dyDescent="0.3">
      <c r="A7" s="50" t="s">
        <v>709</v>
      </c>
      <c r="B7" s="50" t="s">
        <v>122</v>
      </c>
      <c r="C7" s="51"/>
      <c r="D7" s="50"/>
      <c r="E7" s="52" t="s">
        <v>710</v>
      </c>
      <c r="F7" s="50" t="s">
        <v>711</v>
      </c>
      <c r="G7" s="50" t="s">
        <v>712</v>
      </c>
      <c r="H7" s="52" t="s">
        <v>194</v>
      </c>
      <c r="I7" s="53" t="s">
        <v>713</v>
      </c>
      <c r="J7" s="54" t="s">
        <v>714</v>
      </c>
      <c r="K7" s="53" t="s">
        <v>715</v>
      </c>
    </row>
    <row r="8" spans="1:14" x14ac:dyDescent="0.3">
      <c r="A8" s="55">
        <f>ROW()</f>
        <v>8</v>
      </c>
      <c r="B8" t="s">
        <v>720</v>
      </c>
      <c r="D8" s="56"/>
      <c r="E8" s="47">
        <v>5428588080.5290194</v>
      </c>
      <c r="F8" s="64">
        <v>7.6200000000000004E-2</v>
      </c>
      <c r="G8" s="47">
        <f>+E8*F8</f>
        <v>413658411.73631132</v>
      </c>
      <c r="H8" s="47">
        <v>335137126.10927796</v>
      </c>
      <c r="I8" s="49">
        <f>+G8-H8</f>
        <v>78521285.627033353</v>
      </c>
      <c r="J8" s="57">
        <f>J6</f>
        <v>0.75138099999999997</v>
      </c>
      <c r="K8" s="47">
        <f>+I8/$J$8</f>
        <v>104502623.33893637</v>
      </c>
    </row>
    <row r="9" spans="1:14" outlineLevel="1" x14ac:dyDescent="0.3">
      <c r="A9" s="55">
        <f>ROW()</f>
        <v>9</v>
      </c>
      <c r="B9" s="61" t="s">
        <v>740</v>
      </c>
      <c r="C9" s="59"/>
      <c r="D9" s="60"/>
      <c r="E9" s="47"/>
      <c r="F9" s="64">
        <v>7.6200000000000004E-2</v>
      </c>
      <c r="G9" s="47">
        <f t="shared" ref="G9:G41" si="0">$F$9*E9</f>
        <v>0</v>
      </c>
      <c r="H9" s="47">
        <v>3201870</v>
      </c>
      <c r="I9" s="49">
        <f t="shared" ref="I9:I42" si="1">+G9-H9</f>
        <v>-3201870</v>
      </c>
      <c r="K9" s="47">
        <f t="shared" ref="K9:K25" si="2">+I9/$J$8</f>
        <v>-4261313.5014060782</v>
      </c>
    </row>
    <row r="10" spans="1:14" outlineLevel="1" x14ac:dyDescent="0.3">
      <c r="A10" s="55">
        <f>ROW()</f>
        <v>10</v>
      </c>
      <c r="B10" s="61"/>
      <c r="C10" s="59"/>
      <c r="D10" s="60"/>
      <c r="E10" s="47"/>
      <c r="G10" s="47">
        <f t="shared" si="0"/>
        <v>0</v>
      </c>
      <c r="H10" s="47"/>
      <c r="I10" s="49">
        <f t="shared" si="1"/>
        <v>0</v>
      </c>
      <c r="K10" s="47">
        <f t="shared" si="2"/>
        <v>0</v>
      </c>
    </row>
    <row r="11" spans="1:14" outlineLevel="1" x14ac:dyDescent="0.3">
      <c r="A11" s="55">
        <f>ROW()</f>
        <v>11</v>
      </c>
      <c r="B11" s="61" t="s">
        <v>741</v>
      </c>
      <c r="C11" s="59"/>
      <c r="D11" s="60"/>
      <c r="E11" s="47"/>
      <c r="G11" s="47">
        <f t="shared" si="0"/>
        <v>0</v>
      </c>
      <c r="H11" s="47">
        <v>-76439.133800685406</v>
      </c>
      <c r="I11" s="49">
        <f t="shared" si="1"/>
        <v>76439.133800685406</v>
      </c>
      <c r="K11" s="47">
        <f t="shared" si="2"/>
        <v>101731.52342245201</v>
      </c>
    </row>
    <row r="12" spans="1:14" outlineLevel="1" x14ac:dyDescent="0.3">
      <c r="A12" s="55">
        <f>ROW()</f>
        <v>12</v>
      </c>
      <c r="B12" s="61" t="s">
        <v>742</v>
      </c>
      <c r="C12" s="59"/>
      <c r="D12" s="60"/>
      <c r="E12" s="47"/>
      <c r="G12" s="47">
        <f t="shared" si="0"/>
        <v>0</v>
      </c>
      <c r="H12" s="47">
        <v>-516507.1969486773</v>
      </c>
      <c r="I12" s="49">
        <f t="shared" si="1"/>
        <v>516507.1969486773</v>
      </c>
      <c r="K12" s="47">
        <f t="shared" si="2"/>
        <v>687410.51071118028</v>
      </c>
    </row>
    <row r="13" spans="1:14" outlineLevel="1" x14ac:dyDescent="0.3">
      <c r="A13" s="55">
        <f>ROW()</f>
        <v>13</v>
      </c>
      <c r="B13" s="140" t="s">
        <v>768</v>
      </c>
      <c r="C13" s="141"/>
      <c r="D13" s="142"/>
      <c r="E13" s="138"/>
      <c r="F13" s="137"/>
      <c r="G13" s="138">
        <f t="shared" si="0"/>
        <v>0</v>
      </c>
      <c r="H13" s="138"/>
      <c r="I13" s="139">
        <f t="shared" si="1"/>
        <v>0</v>
      </c>
      <c r="J13" s="137"/>
      <c r="K13" s="138">
        <f t="shared" si="2"/>
        <v>0</v>
      </c>
    </row>
    <row r="14" spans="1:14" outlineLevel="1" x14ac:dyDescent="0.3">
      <c r="A14" s="55">
        <f>ROW()</f>
        <v>14</v>
      </c>
      <c r="B14" s="147" t="s">
        <v>912</v>
      </c>
      <c r="C14" s="148"/>
      <c r="D14" s="149"/>
      <c r="E14" s="150"/>
      <c r="F14" s="151"/>
      <c r="G14" s="150">
        <f t="shared" si="0"/>
        <v>0</v>
      </c>
      <c r="H14" s="150">
        <f>766215.952777773-799791</f>
        <v>-33575.047222226975</v>
      </c>
      <c r="I14" s="150">
        <f t="shared" si="1"/>
        <v>33575.047222226975</v>
      </c>
      <c r="J14" s="151"/>
      <c r="K14" s="150">
        <f t="shared" si="2"/>
        <v>44684.450661151903</v>
      </c>
      <c r="N14" s="49"/>
    </row>
    <row r="15" spans="1:14" outlineLevel="1" x14ac:dyDescent="0.3">
      <c r="A15" s="55">
        <f>ROW()</f>
        <v>15</v>
      </c>
      <c r="B15" s="147" t="s">
        <v>769</v>
      </c>
      <c r="C15" s="148"/>
      <c r="D15" s="149"/>
      <c r="E15" s="150"/>
      <c r="F15" s="151"/>
      <c r="G15" s="150">
        <f t="shared" si="0"/>
        <v>0</v>
      </c>
      <c r="H15" s="150">
        <f>-18041243.4873638-2259676.13032937+59970.4629442691</f>
        <v>-20240949.154748902</v>
      </c>
      <c r="I15" s="150">
        <f t="shared" si="1"/>
        <v>20240949.154748902</v>
      </c>
      <c r="J15" s="151"/>
      <c r="K15" s="150">
        <f t="shared" si="2"/>
        <v>26938329.761797149</v>
      </c>
      <c r="N15" s="49"/>
    </row>
    <row r="16" spans="1:14" outlineLevel="1" x14ac:dyDescent="0.3">
      <c r="A16" s="55">
        <f>ROW()</f>
        <v>16</v>
      </c>
      <c r="B16" s="147" t="s">
        <v>926</v>
      </c>
      <c r="C16" s="148"/>
      <c r="D16" s="149"/>
      <c r="E16" s="150"/>
      <c r="F16" s="151"/>
      <c r="G16" s="150">
        <f t="shared" si="0"/>
        <v>0</v>
      </c>
      <c r="H16" s="150">
        <v>652490.74783587456</v>
      </c>
      <c r="I16" s="150">
        <f t="shared" si="1"/>
        <v>-652490.74783587456</v>
      </c>
      <c r="J16" s="151"/>
      <c r="K16" s="150">
        <f t="shared" si="2"/>
        <v>-868388.67077537836</v>
      </c>
      <c r="N16" s="49"/>
    </row>
    <row r="17" spans="1:13" outlineLevel="1" x14ac:dyDescent="0.3">
      <c r="A17" s="55">
        <f>ROW()</f>
        <v>17</v>
      </c>
      <c r="B17" s="147" t="s">
        <v>771</v>
      </c>
      <c r="C17" s="148"/>
      <c r="D17" s="149"/>
      <c r="E17" s="150">
        <v>7927989.0496873856</v>
      </c>
      <c r="F17" s="151"/>
      <c r="G17" s="150">
        <f t="shared" si="0"/>
        <v>604112.76558617887</v>
      </c>
      <c r="H17" s="150">
        <v>47781.990002393723</v>
      </c>
      <c r="I17" s="150">
        <f t="shared" si="1"/>
        <v>556330.77558378514</v>
      </c>
      <c r="J17" s="151"/>
      <c r="K17" s="150">
        <f t="shared" si="2"/>
        <v>740411.02394628711</v>
      </c>
    </row>
    <row r="18" spans="1:13" outlineLevel="1" x14ac:dyDescent="0.3">
      <c r="A18" s="55">
        <f>ROW()</f>
        <v>18</v>
      </c>
      <c r="B18" s="147" t="s">
        <v>777</v>
      </c>
      <c r="C18" s="148"/>
      <c r="D18" s="149"/>
      <c r="E18" s="150">
        <v>-550000</v>
      </c>
      <c r="F18" s="151"/>
      <c r="G18" s="150">
        <f>$F$9*E18</f>
        <v>-41910</v>
      </c>
      <c r="H18" s="150">
        <v>41715.150000095367</v>
      </c>
      <c r="I18" s="150">
        <f t="shared" si="1"/>
        <v>-83625.150000095367</v>
      </c>
      <c r="J18" s="151"/>
      <c r="K18" s="150">
        <f t="shared" si="2"/>
        <v>-111295.26831274063</v>
      </c>
    </row>
    <row r="19" spans="1:13" outlineLevel="1" x14ac:dyDescent="0.3">
      <c r="A19" s="55">
        <f>ROW()</f>
        <v>19</v>
      </c>
      <c r="B19" s="147" t="s">
        <v>779</v>
      </c>
      <c r="C19" s="148"/>
      <c r="D19" s="149"/>
      <c r="E19" s="150"/>
      <c r="F19" s="151"/>
      <c r="G19" s="150">
        <f t="shared" si="0"/>
        <v>0</v>
      </c>
      <c r="H19" s="150">
        <f>8998.3254109621-209.484621803393+103.817013591527</f>
        <v>8892.6578027502328</v>
      </c>
      <c r="I19" s="150">
        <f t="shared" si="1"/>
        <v>-8892.6578027502328</v>
      </c>
      <c r="J19" s="151"/>
      <c r="K19" s="150">
        <f t="shared" si="2"/>
        <v>-11835.084734309536</v>
      </c>
    </row>
    <row r="20" spans="1:13" outlineLevel="1" x14ac:dyDescent="0.3">
      <c r="A20" s="55">
        <f>ROW()</f>
        <v>20</v>
      </c>
      <c r="B20" s="147" t="s">
        <v>781</v>
      </c>
      <c r="C20" s="148"/>
      <c r="D20" s="149" t="s">
        <v>785</v>
      </c>
      <c r="E20" s="150">
        <v>263117.82048999984</v>
      </c>
      <c r="F20" s="151"/>
      <c r="G20" s="150">
        <f t="shared" si="0"/>
        <v>20049.57792133799</v>
      </c>
      <c r="H20" s="150">
        <v>1585.8111040592194</v>
      </c>
      <c r="I20" s="150">
        <f t="shared" si="1"/>
        <v>18463.766817278771</v>
      </c>
      <c r="J20" s="151"/>
      <c r="K20" s="150">
        <f t="shared" si="2"/>
        <v>24573.108472637414</v>
      </c>
    </row>
    <row r="21" spans="1:13" ht="15" outlineLevel="1" thickBot="1" x14ac:dyDescent="0.35">
      <c r="A21" s="55">
        <f>ROW()</f>
        <v>21</v>
      </c>
      <c r="B21" s="147" t="s">
        <v>913</v>
      </c>
      <c r="C21" s="148"/>
      <c r="D21" s="149" t="s">
        <v>785</v>
      </c>
      <c r="E21" s="150">
        <v>-211405.47488117218</v>
      </c>
      <c r="F21" s="151"/>
      <c r="G21" s="150">
        <f t="shared" si="0"/>
        <v>-16109.09718594532</v>
      </c>
      <c r="H21" s="150">
        <v>-1274.1407971382141</v>
      </c>
      <c r="I21" s="150">
        <f t="shared" si="1"/>
        <v>-14834.956388807106</v>
      </c>
      <c r="J21" s="151"/>
      <c r="K21" s="150">
        <f t="shared" si="2"/>
        <v>-19743.587326279354</v>
      </c>
    </row>
    <row r="22" spans="1:13" ht="15" outlineLevel="1" thickBot="1" x14ac:dyDescent="0.35">
      <c r="A22" s="55">
        <f>ROW()</f>
        <v>22</v>
      </c>
      <c r="B22" s="147" t="s">
        <v>812</v>
      </c>
      <c r="C22" s="148"/>
      <c r="D22" s="149"/>
      <c r="E22" s="150"/>
      <c r="F22" s="153">
        <v>7.5700000000000003E-2</v>
      </c>
      <c r="G22" s="150">
        <f>SUM(E8:E21)*(0.0757-0.0762)</f>
        <v>-2718008.8909621602</v>
      </c>
      <c r="H22" s="150"/>
      <c r="I22" s="150">
        <f t="shared" si="1"/>
        <v>-2718008.8909621602</v>
      </c>
      <c r="J22" s="151"/>
      <c r="K22" s="150">
        <f t="shared" si="2"/>
        <v>-3617351.1054473831</v>
      </c>
      <c r="M22" s="104"/>
    </row>
    <row r="23" spans="1:13" ht="15" outlineLevel="1" thickBot="1" x14ac:dyDescent="0.35">
      <c r="A23" s="55">
        <f>ROW()</f>
        <v>23</v>
      </c>
      <c r="B23" s="159" t="s">
        <v>930</v>
      </c>
      <c r="C23" s="160"/>
      <c r="D23" s="161"/>
      <c r="E23" s="162"/>
      <c r="F23" s="163"/>
      <c r="G23" s="162">
        <f t="shared" ref="G23" si="3">$F$9*E23</f>
        <v>0</v>
      </c>
      <c r="H23" s="162"/>
      <c r="I23" s="164">
        <f t="shared" ref="I23" si="4">+G23-H23</f>
        <v>0</v>
      </c>
      <c r="J23" s="163"/>
      <c r="K23" s="162">
        <f t="shared" ref="K23" si="5">+I23/$J$8</f>
        <v>0</v>
      </c>
      <c r="M23" s="104"/>
    </row>
    <row r="24" spans="1:13" ht="15" outlineLevel="1" thickBot="1" x14ac:dyDescent="0.35">
      <c r="A24" s="55">
        <f>ROW()</f>
        <v>24</v>
      </c>
      <c r="B24" s="165" t="s">
        <v>933</v>
      </c>
      <c r="C24" s="148"/>
      <c r="D24" s="167"/>
      <c r="E24" s="168"/>
      <c r="F24" s="203">
        <v>7.4800000000000005E-2</v>
      </c>
      <c r="G24" s="168">
        <f>SUM(E8:E26)*(0.0748-0.0757)</f>
        <v>-4892416.0037318729</v>
      </c>
      <c r="H24" s="168"/>
      <c r="I24" s="168">
        <f>+G24-H24</f>
        <v>-4892416.0037318729</v>
      </c>
      <c r="J24" s="169"/>
      <c r="K24" s="168">
        <f>+I24/$J$8</f>
        <v>-6511231.9898052691</v>
      </c>
      <c r="L24" s="49">
        <f>SUM(K8:K24)</f>
        <v>117638604.51013979</v>
      </c>
      <c r="M24" t="s">
        <v>951</v>
      </c>
    </row>
    <row r="25" spans="1:13" outlineLevel="1" x14ac:dyDescent="0.3">
      <c r="A25" s="55">
        <f>ROW()</f>
        <v>25</v>
      </c>
      <c r="B25" s="165" t="s">
        <v>929</v>
      </c>
      <c r="C25" s="166"/>
      <c r="D25" s="167" t="s">
        <v>934</v>
      </c>
      <c r="E25" s="168"/>
      <c r="F25" s="169"/>
      <c r="G25" s="168">
        <f t="shared" si="0"/>
        <v>0</v>
      </c>
      <c r="H25" s="168">
        <f>2691398.89486045+967</f>
        <v>2692365.8948604502</v>
      </c>
      <c r="I25" s="168">
        <f t="shared" si="1"/>
        <v>-2692365.8948604502</v>
      </c>
      <c r="J25" s="169"/>
      <c r="K25" s="168">
        <f t="shared" si="2"/>
        <v>-3583223.2846724237</v>
      </c>
      <c r="L25" s="49"/>
    </row>
    <row r="26" spans="1:13" outlineLevel="1" x14ac:dyDescent="0.3">
      <c r="A26" s="55">
        <f>ROW()</f>
        <v>26</v>
      </c>
      <c r="B26" s="165" t="s">
        <v>932</v>
      </c>
      <c r="C26" s="166"/>
      <c r="D26" s="167" t="s">
        <v>934</v>
      </c>
      <c r="E26" s="168"/>
      <c r="F26" s="169"/>
      <c r="G26" s="168"/>
      <c r="H26" s="168">
        <v>-912705.99975863099</v>
      </c>
      <c r="I26" s="168">
        <f t="shared" ref="I26:I30" si="6">+G26-H26</f>
        <v>912705.99975863099</v>
      </c>
      <c r="J26" s="169"/>
      <c r="K26" s="168">
        <f t="shared" ref="K26:K30" si="7">+I26/$J$8</f>
        <v>1214704.6568367193</v>
      </c>
    </row>
    <row r="27" spans="1:13" ht="15" outlineLevel="1" thickBot="1" x14ac:dyDescent="0.35">
      <c r="A27" s="55">
        <f>ROW()</f>
        <v>27</v>
      </c>
      <c r="B27" s="165" t="s">
        <v>935</v>
      </c>
      <c r="C27" s="148"/>
      <c r="D27" s="167" t="s">
        <v>934</v>
      </c>
      <c r="E27" s="168">
        <v>-7927989</v>
      </c>
      <c r="F27" s="169"/>
      <c r="G27" s="168">
        <f>E27*F24</f>
        <v>-593013.57720000006</v>
      </c>
      <c r="H27" s="168">
        <f>-33152988+33104041+1165</f>
        <v>-47782</v>
      </c>
      <c r="I27" s="168">
        <f t="shared" si="6"/>
        <v>-545231.57720000006</v>
      </c>
      <c r="J27" s="169"/>
      <c r="K27" s="168">
        <f t="shared" si="7"/>
        <v>-725639.29244950309</v>
      </c>
    </row>
    <row r="28" spans="1:13" ht="15" outlineLevel="1" thickBot="1" x14ac:dyDescent="0.35">
      <c r="A28" s="55">
        <f>ROW()</f>
        <v>28</v>
      </c>
      <c r="B28" s="165" t="s">
        <v>937</v>
      </c>
      <c r="C28" s="148"/>
      <c r="D28" s="167" t="s">
        <v>936</v>
      </c>
      <c r="E28" s="168"/>
      <c r="F28" s="203">
        <v>7.4399999999999994E-2</v>
      </c>
      <c r="G28" s="168">
        <f>SUM(E8:E28)*(0.0744-0.0748)</f>
        <v>-2171235.9171697884</v>
      </c>
      <c r="H28" s="168">
        <v>-455959.54260146618</v>
      </c>
      <c r="I28" s="168">
        <f t="shared" si="6"/>
        <v>-1715276.3745683222</v>
      </c>
      <c r="J28" s="169"/>
      <c r="K28" s="168">
        <f t="shared" si="7"/>
        <v>-2282831.7119654641</v>
      </c>
    </row>
    <row r="29" spans="1:13" outlineLevel="1" x14ac:dyDescent="0.3">
      <c r="A29" s="55">
        <f>ROW()</f>
        <v>29</v>
      </c>
      <c r="B29" s="165" t="s">
        <v>943</v>
      </c>
      <c r="C29" s="166"/>
      <c r="D29" s="167" t="s">
        <v>944</v>
      </c>
      <c r="E29" s="168">
        <v>10202683.391142681</v>
      </c>
      <c r="F29" s="169"/>
      <c r="G29" s="168">
        <f>+E29*F28</f>
        <v>759079.64430101542</v>
      </c>
      <c r="H29" s="168">
        <v>-2912901.1639061868</v>
      </c>
      <c r="I29" s="168">
        <f t="shared" si="6"/>
        <v>3671980.8082072022</v>
      </c>
      <c r="J29" s="169"/>
      <c r="K29" s="168">
        <f t="shared" si="7"/>
        <v>4886975.8593938397</v>
      </c>
    </row>
    <row r="30" spans="1:13" outlineLevel="1" x14ac:dyDescent="0.3">
      <c r="A30" s="55">
        <f>ROW()</f>
        <v>30</v>
      </c>
      <c r="B30" s="165" t="s">
        <v>945</v>
      </c>
      <c r="C30" s="166"/>
      <c r="D30" s="167" t="s">
        <v>944</v>
      </c>
      <c r="E30" s="168">
        <v>36718215.483898163</v>
      </c>
      <c r="F30" s="169"/>
      <c r="G30" s="168">
        <f>+E30*$F$28</f>
        <v>2731835.2320020231</v>
      </c>
      <c r="H30" s="168">
        <v>-1941649.7358467579</v>
      </c>
      <c r="I30" s="168">
        <f t="shared" si="6"/>
        <v>4673484.9678487815</v>
      </c>
      <c r="J30" s="169"/>
      <c r="K30" s="168">
        <f t="shared" si="7"/>
        <v>6219860.454082259</v>
      </c>
    </row>
    <row r="31" spans="1:13" outlineLevel="1" x14ac:dyDescent="0.3">
      <c r="A31" s="55">
        <f>ROW()</f>
        <v>31</v>
      </c>
      <c r="B31" s="165" t="s">
        <v>946</v>
      </c>
      <c r="C31" s="166"/>
      <c r="D31" s="167" t="s">
        <v>944</v>
      </c>
      <c r="E31" s="168">
        <v>12911759.982631683</v>
      </c>
      <c r="F31" s="169"/>
      <c r="G31" s="168">
        <f>+E31*$F$28</f>
        <v>960634.94270779716</v>
      </c>
      <c r="H31" s="168">
        <v>-209534.03276801109</v>
      </c>
      <c r="I31" s="168">
        <f t="shared" ref="I31:I41" si="8">+G31-H31</f>
        <v>1170168.9754758081</v>
      </c>
      <c r="J31" s="169"/>
      <c r="K31" s="168">
        <f t="shared" ref="K31:K41" si="9">+I31/$J$8</f>
        <v>1557357.6860152283</v>
      </c>
    </row>
    <row r="32" spans="1:13" outlineLevel="1" x14ac:dyDescent="0.3">
      <c r="A32" s="55">
        <f>ROW()</f>
        <v>32</v>
      </c>
      <c r="B32" s="165" t="s">
        <v>947</v>
      </c>
      <c r="C32" s="166"/>
      <c r="D32" s="167" t="s">
        <v>944</v>
      </c>
      <c r="E32" s="168">
        <v>317308.04252815247</v>
      </c>
      <c r="F32" s="169"/>
      <c r="G32" s="168">
        <f>+E32*$F$28</f>
        <v>23607.71836409454</v>
      </c>
      <c r="H32" s="168">
        <v>-26925.201792240143</v>
      </c>
      <c r="I32" s="168">
        <f t="shared" si="8"/>
        <v>50532.920156334687</v>
      </c>
      <c r="J32" s="169"/>
      <c r="K32" s="168">
        <f t="shared" si="9"/>
        <v>67253.390964550199</v>
      </c>
    </row>
    <row r="33" spans="1:17" outlineLevel="1" x14ac:dyDescent="0.3">
      <c r="A33" s="55">
        <f>ROW()</f>
        <v>33</v>
      </c>
      <c r="B33" s="165" t="s">
        <v>948</v>
      </c>
      <c r="C33" s="166"/>
      <c r="D33" s="167"/>
      <c r="E33" s="168">
        <v>22422632.618251801</v>
      </c>
      <c r="F33" s="169"/>
      <c r="G33" s="168">
        <f>+E33*$F$28</f>
        <v>1668243.8667979338</v>
      </c>
      <c r="H33" s="168">
        <v>-383906.44193840027</v>
      </c>
      <c r="I33" s="168">
        <f t="shared" si="8"/>
        <v>2052150.3087363341</v>
      </c>
      <c r="J33" s="169"/>
      <c r="K33" s="168">
        <f t="shared" si="9"/>
        <v>2731171.4146835417</v>
      </c>
    </row>
    <row r="34" spans="1:17" outlineLevel="1" x14ac:dyDescent="0.3">
      <c r="A34" s="55">
        <f>ROW()</f>
        <v>34</v>
      </c>
      <c r="B34" s="165" t="s">
        <v>949</v>
      </c>
      <c r="C34" s="166"/>
      <c r="D34" s="167"/>
      <c r="E34" s="168">
        <v>-501111.85130977631</v>
      </c>
      <c r="F34" s="169"/>
      <c r="G34" s="168">
        <f>+E34*$F$28</f>
        <v>-37282.721737447355</v>
      </c>
      <c r="H34" s="168">
        <v>-46427.343802213669</v>
      </c>
      <c r="I34" s="168">
        <f t="shared" si="8"/>
        <v>9144.622064766314</v>
      </c>
      <c r="J34" s="169"/>
      <c r="K34" s="168">
        <f t="shared" si="9"/>
        <v>12170.419620360795</v>
      </c>
    </row>
    <row r="35" spans="1:17" outlineLevel="1" x14ac:dyDescent="0.3">
      <c r="A35" s="55">
        <f>ROW()</f>
        <v>35</v>
      </c>
      <c r="B35" s="165"/>
      <c r="C35" s="166"/>
      <c r="D35" s="167"/>
      <c r="E35" s="168"/>
      <c r="F35" s="169"/>
      <c r="G35" s="168"/>
      <c r="H35" s="168"/>
      <c r="I35" s="168">
        <f t="shared" si="8"/>
        <v>0</v>
      </c>
      <c r="J35" s="169"/>
      <c r="K35" s="168">
        <f t="shared" si="9"/>
        <v>0</v>
      </c>
    </row>
    <row r="36" spans="1:17" outlineLevel="1" x14ac:dyDescent="0.3">
      <c r="A36" s="55">
        <f>ROW()</f>
        <v>36</v>
      </c>
      <c r="B36" s="165"/>
      <c r="C36" s="166"/>
      <c r="D36" s="167"/>
      <c r="E36" s="168"/>
      <c r="F36" s="169"/>
      <c r="G36" s="168"/>
      <c r="H36" s="168"/>
      <c r="I36" s="168">
        <f t="shared" si="8"/>
        <v>0</v>
      </c>
      <c r="J36" s="169"/>
      <c r="K36" s="168">
        <f t="shared" si="9"/>
        <v>0</v>
      </c>
    </row>
    <row r="37" spans="1:17" outlineLevel="1" x14ac:dyDescent="0.3">
      <c r="A37" s="55">
        <f>ROW()</f>
        <v>37</v>
      </c>
      <c r="B37" s="165"/>
      <c r="C37" s="166"/>
      <c r="D37" s="167"/>
      <c r="E37" s="168"/>
      <c r="F37" s="169"/>
      <c r="G37" s="168"/>
      <c r="H37" s="168"/>
      <c r="I37" s="168">
        <f t="shared" si="8"/>
        <v>0</v>
      </c>
      <c r="J37" s="169"/>
      <c r="K37" s="168">
        <f t="shared" si="9"/>
        <v>0</v>
      </c>
    </row>
    <row r="38" spans="1:17" outlineLevel="1" x14ac:dyDescent="0.3">
      <c r="A38" s="55">
        <f>ROW()</f>
        <v>38</v>
      </c>
      <c r="B38" s="165"/>
      <c r="C38" s="166"/>
      <c r="D38" s="167"/>
      <c r="E38" s="168"/>
      <c r="F38" s="169"/>
      <c r="G38" s="168"/>
      <c r="H38" s="168"/>
      <c r="I38" s="168">
        <f t="shared" si="8"/>
        <v>0</v>
      </c>
      <c r="J38" s="169"/>
      <c r="K38" s="168">
        <f t="shared" si="9"/>
        <v>0</v>
      </c>
    </row>
    <row r="39" spans="1:17" outlineLevel="1" x14ac:dyDescent="0.3">
      <c r="A39" s="55">
        <f>ROW()</f>
        <v>39</v>
      </c>
      <c r="B39" s="165"/>
      <c r="C39" s="166"/>
      <c r="D39" s="167"/>
      <c r="E39" s="168"/>
      <c r="F39" s="169"/>
      <c r="G39" s="168"/>
      <c r="H39" s="168"/>
      <c r="I39" s="168">
        <f t="shared" si="8"/>
        <v>0</v>
      </c>
      <c r="J39" s="169"/>
      <c r="K39" s="168">
        <f t="shared" si="9"/>
        <v>0</v>
      </c>
    </row>
    <row r="40" spans="1:17" outlineLevel="1" x14ac:dyDescent="0.3">
      <c r="A40" s="55">
        <f>ROW()</f>
        <v>40</v>
      </c>
      <c r="B40" s="165"/>
      <c r="C40" s="166"/>
      <c r="D40" s="167"/>
      <c r="E40" s="168"/>
      <c r="F40" s="169"/>
      <c r="G40" s="168">
        <f t="shared" si="0"/>
        <v>0</v>
      </c>
      <c r="H40" s="168"/>
      <c r="I40" s="168">
        <f t="shared" si="8"/>
        <v>0</v>
      </c>
      <c r="J40" s="169"/>
      <c r="K40" s="168">
        <f t="shared" si="9"/>
        <v>0</v>
      </c>
    </row>
    <row r="41" spans="1:17" x14ac:dyDescent="0.3">
      <c r="A41" s="55">
        <f>ROW()</f>
        <v>41</v>
      </c>
      <c r="B41" s="169" t="s">
        <v>716</v>
      </c>
      <c r="C41" s="172"/>
      <c r="D41" s="169"/>
      <c r="E41" s="168"/>
      <c r="F41" s="169"/>
      <c r="G41" s="168">
        <f t="shared" si="0"/>
        <v>0</v>
      </c>
      <c r="H41" s="168"/>
      <c r="I41" s="168">
        <f t="shared" si="8"/>
        <v>0</v>
      </c>
      <c r="J41" s="169"/>
      <c r="K41" s="168">
        <f t="shared" si="9"/>
        <v>0</v>
      </c>
      <c r="L41" s="43"/>
    </row>
    <row r="42" spans="1:17" x14ac:dyDescent="0.3">
      <c r="A42" s="66"/>
      <c r="B42" s="67" t="s">
        <v>717</v>
      </c>
      <c r="C42" s="68"/>
      <c r="D42" s="67"/>
      <c r="E42" s="69">
        <f>SUM(E8:E41)</f>
        <v>5510161280.5914583</v>
      </c>
      <c r="F42" s="67"/>
      <c r="G42" s="69">
        <f>SUM(G8:G41)</f>
        <v>409955999.27600443</v>
      </c>
      <c r="H42" s="69">
        <f>SUM(H8:H41)</f>
        <v>313977292.22495198</v>
      </c>
      <c r="I42" s="70">
        <f t="shared" si="1"/>
        <v>95978707.051052451</v>
      </c>
      <c r="J42" s="67"/>
      <c r="K42" s="69">
        <f>SUM(K8:K41)</f>
        <v>127736404.10264891</v>
      </c>
      <c r="L42" s="43" t="str">
        <f>IF(K42&gt;0,"&lt;==DEFICIENCY","&lt;==SURPLUS")</f>
        <v>&lt;==DEFICIENCY</v>
      </c>
    </row>
    <row r="43" spans="1:17" x14ac:dyDescent="0.3">
      <c r="A43" s="55"/>
      <c r="B43" t="s">
        <v>718</v>
      </c>
      <c r="E43" s="47">
        <f>+'COC, Def, ConvF'!C12</f>
        <v>5510161280.5417719</v>
      </c>
      <c r="G43" s="47">
        <f>+'COC, Def, ConvF'!C15</f>
        <v>409955999.27230781</v>
      </c>
      <c r="H43" s="47">
        <f>+'COC, Def, ConvF'!C17</f>
        <v>313977292.28217196</v>
      </c>
      <c r="I43" s="47">
        <f>+'COC, Def, ConvF'!C18</f>
        <v>95978706.990135849</v>
      </c>
      <c r="J43" s="47"/>
      <c r="K43" s="47">
        <f>+'COC, Def, ConvF'!C21</f>
        <v>127736404</v>
      </c>
      <c r="L43" s="49">
        <f>K42-L24</f>
        <v>10097799.592509121</v>
      </c>
      <c r="M43" s="71"/>
    </row>
    <row r="44" spans="1:17" x14ac:dyDescent="0.3">
      <c r="A44" s="55"/>
      <c r="B44" t="s">
        <v>719</v>
      </c>
      <c r="E44" s="115">
        <f>ROUND(E42-E43,0)</f>
        <v>0</v>
      </c>
      <c r="G44" s="115">
        <f t="shared" ref="G44:K44" si="10">ROUND(G42-G43,0)</f>
        <v>0</v>
      </c>
      <c r="H44" s="115">
        <f t="shared" si="10"/>
        <v>0</v>
      </c>
      <c r="I44" s="115">
        <f t="shared" si="10"/>
        <v>0</v>
      </c>
      <c r="K44" s="115">
        <f t="shared" si="10"/>
        <v>0</v>
      </c>
      <c r="P44" s="61"/>
      <c r="Q44" s="61"/>
    </row>
    <row r="45" spans="1:17" s="61" customFormat="1" x14ac:dyDescent="0.3">
      <c r="A45" s="55"/>
      <c r="C45" s="62"/>
      <c r="E45" s="58"/>
      <c r="G45" s="58"/>
      <c r="H45" s="58"/>
      <c r="I45" s="58"/>
      <c r="K45" s="72"/>
      <c r="L45" s="73"/>
      <c r="P45"/>
      <c r="Q45"/>
    </row>
    <row r="46" spans="1:17" x14ac:dyDescent="0.3">
      <c r="A46" s="55"/>
      <c r="I46" s="61"/>
      <c r="J46" s="61"/>
      <c r="K46" s="74"/>
      <c r="L46" s="63"/>
      <c r="M46" s="61"/>
      <c r="N46" s="61"/>
    </row>
    <row r="47" spans="1:17" x14ac:dyDescent="0.3">
      <c r="A47" s="55"/>
      <c r="E47" s="65"/>
      <c r="I47" s="61"/>
      <c r="J47" s="61"/>
      <c r="K47" s="74"/>
      <c r="L47" s="75"/>
      <c r="M47" s="61"/>
      <c r="N47" s="61"/>
    </row>
    <row r="48" spans="1:17" x14ac:dyDescent="0.3">
      <c r="A48" s="55"/>
      <c r="I48" s="61"/>
      <c r="J48" s="61"/>
      <c r="K48" s="74"/>
      <c r="L48" s="75"/>
      <c r="M48" s="61"/>
      <c r="N48" s="61"/>
    </row>
    <row r="49" spans="1:14" x14ac:dyDescent="0.3">
      <c r="A49" s="55"/>
      <c r="I49" s="61"/>
      <c r="J49" s="61"/>
      <c r="K49" s="76"/>
      <c r="L49" s="75"/>
      <c r="M49" s="61"/>
      <c r="N49" s="61"/>
    </row>
    <row r="50" spans="1:14" x14ac:dyDescent="0.3">
      <c r="A50" s="55"/>
      <c r="I50" s="61"/>
      <c r="J50" s="61"/>
      <c r="K50" s="61"/>
      <c r="L50" s="77"/>
      <c r="M50" s="77"/>
      <c r="N50" s="77"/>
    </row>
    <row r="51" spans="1:14" x14ac:dyDescent="0.3">
      <c r="A51" s="55"/>
      <c r="I51" s="61"/>
      <c r="J51" s="78"/>
      <c r="K51" s="79"/>
      <c r="L51" s="80"/>
      <c r="M51" s="80"/>
      <c r="N51" s="81"/>
    </row>
    <row r="52" spans="1:14" x14ac:dyDescent="0.3">
      <c r="A52" s="55"/>
      <c r="I52" s="61"/>
      <c r="J52" s="61"/>
      <c r="K52" s="61"/>
      <c r="L52" s="61"/>
      <c r="M52" s="61"/>
      <c r="N52" s="61"/>
    </row>
    <row r="53" spans="1:14" x14ac:dyDescent="0.3">
      <c r="A53" s="55"/>
      <c r="I53" s="61"/>
      <c r="J53" s="61"/>
      <c r="K53" s="61"/>
      <c r="L53" s="63"/>
      <c r="M53" s="82"/>
      <c r="N53" s="63"/>
    </row>
    <row r="54" spans="1:14" x14ac:dyDescent="0.3">
      <c r="A54" s="55"/>
      <c r="I54" s="61"/>
      <c r="J54" s="61"/>
      <c r="K54" s="61"/>
      <c r="L54" s="63"/>
      <c r="M54" s="63"/>
      <c r="N54" s="63"/>
    </row>
    <row r="55" spans="1:14" x14ac:dyDescent="0.3">
      <c r="A55" s="55"/>
      <c r="I55" s="61"/>
      <c r="J55" s="61"/>
      <c r="K55" s="61"/>
      <c r="L55" s="63"/>
      <c r="M55" s="63"/>
      <c r="N55" s="61"/>
    </row>
    <row r="56" spans="1:14" x14ac:dyDescent="0.3">
      <c r="A56" s="55"/>
      <c r="I56" s="61"/>
      <c r="J56" s="61"/>
      <c r="K56" s="61"/>
      <c r="L56" s="61"/>
      <c r="M56" s="61"/>
      <c r="N56" s="61"/>
    </row>
    <row r="57" spans="1:14" x14ac:dyDescent="0.3">
      <c r="A57" s="55"/>
      <c r="I57" s="61"/>
      <c r="J57" s="61"/>
      <c r="K57" s="61"/>
      <c r="L57" s="61"/>
      <c r="M57" s="61"/>
      <c r="N57" s="61"/>
    </row>
    <row r="58" spans="1:14" x14ac:dyDescent="0.3">
      <c r="A58" s="55"/>
      <c r="I58" s="83"/>
      <c r="J58" s="78"/>
      <c r="K58" s="79"/>
      <c r="L58" s="80"/>
      <c r="M58" s="80"/>
      <c r="N58" s="81"/>
    </row>
    <row r="59" spans="1:14" x14ac:dyDescent="0.3">
      <c r="A59" s="55"/>
      <c r="I59" s="61"/>
      <c r="J59" s="61"/>
      <c r="K59" s="83"/>
      <c r="L59" s="63"/>
      <c r="M59" s="63"/>
      <c r="N59" s="63"/>
    </row>
    <row r="60" spans="1:14" x14ac:dyDescent="0.3">
      <c r="A60" s="55"/>
      <c r="I60" s="61"/>
      <c r="J60" s="61"/>
      <c r="K60" s="61"/>
      <c r="L60" s="61"/>
      <c r="M60" s="61"/>
      <c r="N60" s="61"/>
    </row>
    <row r="61" spans="1:14" x14ac:dyDescent="0.3">
      <c r="A61" s="55"/>
    </row>
    <row r="62" spans="1:14" x14ac:dyDescent="0.3">
      <c r="A62" s="55"/>
    </row>
    <row r="63" spans="1:14" x14ac:dyDescent="0.3">
      <c r="A63" s="55"/>
    </row>
    <row r="64" spans="1:14" x14ac:dyDescent="0.3">
      <c r="A64" s="55"/>
    </row>
    <row r="65" spans="1:1" x14ac:dyDescent="0.3">
      <c r="A65" s="55"/>
    </row>
    <row r="66" spans="1:1" x14ac:dyDescent="0.3">
      <c r="A66" s="55"/>
    </row>
    <row r="67" spans="1:1" x14ac:dyDescent="0.3">
      <c r="A67" s="55"/>
    </row>
    <row r="68" spans="1:1" x14ac:dyDescent="0.3">
      <c r="A68" s="55"/>
    </row>
    <row r="69" spans="1:1" x14ac:dyDescent="0.3">
      <c r="A69" s="55"/>
    </row>
    <row r="70" spans="1:1" x14ac:dyDescent="0.3">
      <c r="A70" s="55"/>
    </row>
    <row r="71" spans="1:1" x14ac:dyDescent="0.3">
      <c r="A71" s="55"/>
    </row>
    <row r="72" spans="1:1" x14ac:dyDescent="0.3">
      <c r="A72" s="55"/>
    </row>
    <row r="73" spans="1:1" x14ac:dyDescent="0.3">
      <c r="A73" s="55"/>
    </row>
    <row r="74" spans="1:1" x14ac:dyDescent="0.3">
      <c r="A74" s="55"/>
    </row>
    <row r="75" spans="1:1" x14ac:dyDescent="0.3">
      <c r="A75" s="55"/>
    </row>
    <row r="76" spans="1:1" x14ac:dyDescent="0.3">
      <c r="A76" s="55"/>
    </row>
    <row r="77" spans="1:1" x14ac:dyDescent="0.3">
      <c r="A77" s="55"/>
    </row>
    <row r="78" spans="1:1" x14ac:dyDescent="0.3">
      <c r="A78" s="55"/>
    </row>
    <row r="79" spans="1:1" x14ac:dyDescent="0.3">
      <c r="A79" s="55"/>
    </row>
    <row r="80" spans="1:1" x14ac:dyDescent="0.3">
      <c r="A80" s="55"/>
    </row>
    <row r="81" spans="1:1" x14ac:dyDescent="0.3">
      <c r="A81" s="55"/>
    </row>
    <row r="82" spans="1:1" x14ac:dyDescent="0.3">
      <c r="A82" s="55"/>
    </row>
    <row r="83" spans="1:1" x14ac:dyDescent="0.3">
      <c r="A83" s="55"/>
    </row>
    <row r="84" spans="1:1" x14ac:dyDescent="0.3">
      <c r="A84" s="55"/>
    </row>
    <row r="85" spans="1:1" x14ac:dyDescent="0.3">
      <c r="A85" s="55"/>
    </row>
    <row r="86" spans="1:1" x14ac:dyDescent="0.3">
      <c r="A86" s="55"/>
    </row>
    <row r="87" spans="1:1" x14ac:dyDescent="0.3">
      <c r="A87" s="55"/>
    </row>
    <row r="88" spans="1:1" x14ac:dyDescent="0.3">
      <c r="A88" s="55"/>
    </row>
    <row r="89" spans="1:1" x14ac:dyDescent="0.3">
      <c r="A89" s="55"/>
    </row>
    <row r="90" spans="1:1" x14ac:dyDescent="0.3">
      <c r="A90" s="55"/>
    </row>
    <row r="91" spans="1:1" x14ac:dyDescent="0.3">
      <c r="A91" s="55"/>
    </row>
    <row r="92" spans="1:1" x14ac:dyDescent="0.3">
      <c r="A92" s="55"/>
    </row>
    <row r="93" spans="1:1" x14ac:dyDescent="0.3">
      <c r="A93" s="55"/>
    </row>
    <row r="94" spans="1:1" x14ac:dyDescent="0.3">
      <c r="A94" s="55"/>
    </row>
    <row r="95" spans="1:1" x14ac:dyDescent="0.3">
      <c r="A95" s="55"/>
    </row>
    <row r="96" spans="1:1" x14ac:dyDescent="0.3">
      <c r="A96" s="55"/>
    </row>
    <row r="97" spans="1:1" x14ac:dyDescent="0.3">
      <c r="A97" s="55"/>
    </row>
    <row r="98" spans="1:1" x14ac:dyDescent="0.3">
      <c r="A98" s="55"/>
    </row>
    <row r="99" spans="1:1" x14ac:dyDescent="0.3">
      <c r="A99" s="55"/>
    </row>
    <row r="100" spans="1:1" x14ac:dyDescent="0.3">
      <c r="A100" s="55"/>
    </row>
    <row r="101" spans="1:1" x14ac:dyDescent="0.3">
      <c r="A101" s="55"/>
    </row>
    <row r="102" spans="1:1" x14ac:dyDescent="0.3">
      <c r="A102" s="55"/>
    </row>
    <row r="103" spans="1:1" x14ac:dyDescent="0.3">
      <c r="A103" s="55"/>
    </row>
    <row r="104" spans="1:1" x14ac:dyDescent="0.3">
      <c r="A104" s="55"/>
    </row>
    <row r="105" spans="1:1" x14ac:dyDescent="0.3">
      <c r="A105" s="55"/>
    </row>
    <row r="106" spans="1:1" x14ac:dyDescent="0.3">
      <c r="A106" s="55"/>
    </row>
    <row r="107" spans="1:1" x14ac:dyDescent="0.3">
      <c r="A107" s="55"/>
    </row>
    <row r="108" spans="1:1" x14ac:dyDescent="0.3">
      <c r="A108" s="55"/>
    </row>
    <row r="109" spans="1:1" x14ac:dyDescent="0.3">
      <c r="A109" s="55"/>
    </row>
    <row r="110" spans="1:1" x14ac:dyDescent="0.3">
      <c r="A110" s="55"/>
    </row>
    <row r="111" spans="1:1" x14ac:dyDescent="0.3">
      <c r="A111" s="55"/>
    </row>
    <row r="112" spans="1:1" x14ac:dyDescent="0.3">
      <c r="A112" s="55"/>
    </row>
    <row r="113" spans="1:1" x14ac:dyDescent="0.3">
      <c r="A113" s="55"/>
    </row>
    <row r="114" spans="1:1" x14ac:dyDescent="0.3">
      <c r="A114" s="55"/>
    </row>
    <row r="115" spans="1:1" x14ac:dyDescent="0.3">
      <c r="A115" s="55"/>
    </row>
    <row r="116" spans="1:1" x14ac:dyDescent="0.3">
      <c r="A116" s="55"/>
    </row>
    <row r="117" spans="1:1" x14ac:dyDescent="0.3">
      <c r="A117" s="55"/>
    </row>
    <row r="118" spans="1:1" x14ac:dyDescent="0.3">
      <c r="A118" s="55"/>
    </row>
    <row r="119" spans="1:1" x14ac:dyDescent="0.3">
      <c r="A119" s="55"/>
    </row>
    <row r="120" spans="1:1" x14ac:dyDescent="0.3">
      <c r="A120" s="55"/>
    </row>
    <row r="121" spans="1:1" x14ac:dyDescent="0.3">
      <c r="A121" s="55"/>
    </row>
    <row r="122" spans="1:1" x14ac:dyDescent="0.3">
      <c r="A122" s="55"/>
    </row>
    <row r="123" spans="1:1" x14ac:dyDescent="0.3">
      <c r="A123" s="55"/>
    </row>
    <row r="124" spans="1:1" x14ac:dyDescent="0.3">
      <c r="A124" s="55"/>
    </row>
    <row r="125" spans="1:1" x14ac:dyDescent="0.3">
      <c r="A125" s="55"/>
    </row>
    <row r="126" spans="1:1" x14ac:dyDescent="0.3">
      <c r="A126" s="55"/>
    </row>
    <row r="127" spans="1:1" x14ac:dyDescent="0.3">
      <c r="A127" s="55"/>
    </row>
    <row r="128" spans="1:1" x14ac:dyDescent="0.3">
      <c r="A128" s="55"/>
    </row>
    <row r="129" spans="1:1" x14ac:dyDescent="0.3">
      <c r="A129" s="55"/>
    </row>
    <row r="130" spans="1:1" x14ac:dyDescent="0.3">
      <c r="A130" s="55"/>
    </row>
    <row r="131" spans="1:1" x14ac:dyDescent="0.3">
      <c r="A131" s="55"/>
    </row>
    <row r="132" spans="1:1" x14ac:dyDescent="0.3">
      <c r="A132" s="55"/>
    </row>
    <row r="133" spans="1:1" x14ac:dyDescent="0.3">
      <c r="A133" s="55"/>
    </row>
    <row r="134" spans="1:1" x14ac:dyDescent="0.3">
      <c r="A134" s="55"/>
    </row>
    <row r="135" spans="1:1" x14ac:dyDescent="0.3">
      <c r="A135" s="55"/>
    </row>
    <row r="136" spans="1:1" x14ac:dyDescent="0.3">
      <c r="A136" s="55"/>
    </row>
    <row r="137" spans="1:1" x14ac:dyDescent="0.3">
      <c r="A137" s="55"/>
    </row>
    <row r="138" spans="1:1" x14ac:dyDescent="0.3">
      <c r="A138" s="55"/>
    </row>
    <row r="139" spans="1:1" x14ac:dyDescent="0.3">
      <c r="A139" s="55"/>
    </row>
    <row r="140" spans="1:1" x14ac:dyDescent="0.3">
      <c r="A140" s="55"/>
    </row>
    <row r="141" spans="1:1" x14ac:dyDescent="0.3">
      <c r="A141" s="55"/>
    </row>
    <row r="142" spans="1:1" x14ac:dyDescent="0.3">
      <c r="A142" s="55"/>
    </row>
    <row r="143" spans="1:1" x14ac:dyDescent="0.3">
      <c r="A143" s="55"/>
    </row>
    <row r="144" spans="1:1" x14ac:dyDescent="0.3">
      <c r="A144" s="55"/>
    </row>
    <row r="145" spans="1:1" x14ac:dyDescent="0.3">
      <c r="A145" s="55"/>
    </row>
    <row r="146" spans="1:1" x14ac:dyDescent="0.3">
      <c r="A146" s="55"/>
    </row>
    <row r="147" spans="1:1" x14ac:dyDescent="0.3">
      <c r="A147" s="55"/>
    </row>
    <row r="148" spans="1:1" x14ac:dyDescent="0.3">
      <c r="A148" s="55"/>
    </row>
    <row r="149" spans="1:1" x14ac:dyDescent="0.3">
      <c r="A149" s="55"/>
    </row>
    <row r="150" spans="1:1" x14ac:dyDescent="0.3">
      <c r="A150" s="55"/>
    </row>
    <row r="151" spans="1:1" x14ac:dyDescent="0.3">
      <c r="A151" s="55"/>
    </row>
    <row r="152" spans="1:1" x14ac:dyDescent="0.3">
      <c r="A152" s="55"/>
    </row>
    <row r="153" spans="1:1" x14ac:dyDescent="0.3">
      <c r="A153" s="55"/>
    </row>
    <row r="154" spans="1:1" x14ac:dyDescent="0.3">
      <c r="A154" s="55"/>
    </row>
    <row r="155" spans="1:1" x14ac:dyDescent="0.3">
      <c r="A155" s="55"/>
    </row>
    <row r="156" spans="1:1" x14ac:dyDescent="0.3">
      <c r="A156" s="55"/>
    </row>
    <row r="157" spans="1:1" x14ac:dyDescent="0.3">
      <c r="A157" s="55"/>
    </row>
    <row r="158" spans="1:1" x14ac:dyDescent="0.3">
      <c r="A158" s="55"/>
    </row>
    <row r="159" spans="1:1" x14ac:dyDescent="0.3">
      <c r="A159" s="55"/>
    </row>
    <row r="160" spans="1:1" x14ac:dyDescent="0.3">
      <c r="A160" s="55"/>
    </row>
    <row r="161" spans="1:1" x14ac:dyDescent="0.3">
      <c r="A161" s="55"/>
    </row>
    <row r="162" spans="1:1" x14ac:dyDescent="0.3">
      <c r="A162" s="55"/>
    </row>
    <row r="163" spans="1:1" x14ac:dyDescent="0.3">
      <c r="A163" s="55"/>
    </row>
    <row r="164" spans="1:1" x14ac:dyDescent="0.3">
      <c r="A164" s="55"/>
    </row>
    <row r="165" spans="1:1" x14ac:dyDescent="0.3">
      <c r="A165" s="55"/>
    </row>
    <row r="166" spans="1:1" x14ac:dyDescent="0.3">
      <c r="A166" s="55"/>
    </row>
    <row r="167" spans="1:1" x14ac:dyDescent="0.3">
      <c r="A167" s="55"/>
    </row>
    <row r="168" spans="1:1" x14ac:dyDescent="0.3">
      <c r="A168" s="55"/>
    </row>
    <row r="169" spans="1:1" x14ac:dyDescent="0.3">
      <c r="A169" s="55"/>
    </row>
    <row r="170" spans="1:1" x14ac:dyDescent="0.3">
      <c r="A170" s="55"/>
    </row>
    <row r="171" spans="1:1" x14ac:dyDescent="0.3">
      <c r="A171" s="55"/>
    </row>
    <row r="172" spans="1:1" x14ac:dyDescent="0.3">
      <c r="A172" s="55"/>
    </row>
    <row r="173" spans="1:1" x14ac:dyDescent="0.3">
      <c r="A173" s="55"/>
    </row>
    <row r="174" spans="1:1" x14ac:dyDescent="0.3">
      <c r="A174" s="55"/>
    </row>
    <row r="175" spans="1:1" x14ac:dyDescent="0.3">
      <c r="A175" s="55"/>
    </row>
    <row r="176" spans="1:1" x14ac:dyDescent="0.3">
      <c r="A176" s="55"/>
    </row>
    <row r="177" spans="1:1" x14ac:dyDescent="0.3">
      <c r="A177" s="55"/>
    </row>
    <row r="178" spans="1:1" x14ac:dyDescent="0.3">
      <c r="A178" s="55"/>
    </row>
    <row r="179" spans="1:1" x14ac:dyDescent="0.3">
      <c r="A179" s="55"/>
    </row>
    <row r="180" spans="1:1" x14ac:dyDescent="0.3">
      <c r="A180" s="55"/>
    </row>
    <row r="181" spans="1:1" x14ac:dyDescent="0.3">
      <c r="A181" s="55"/>
    </row>
    <row r="182" spans="1:1" x14ac:dyDescent="0.3">
      <c r="A182" s="55"/>
    </row>
    <row r="183" spans="1:1" x14ac:dyDescent="0.3">
      <c r="A183" s="55"/>
    </row>
    <row r="184" spans="1:1" x14ac:dyDescent="0.3">
      <c r="A184" s="55"/>
    </row>
    <row r="185" spans="1:1" x14ac:dyDescent="0.3">
      <c r="A185" s="55"/>
    </row>
    <row r="186" spans="1:1" x14ac:dyDescent="0.3">
      <c r="A186" s="55"/>
    </row>
    <row r="187" spans="1:1" x14ac:dyDescent="0.3">
      <c r="A187" s="55"/>
    </row>
    <row r="188" spans="1:1" x14ac:dyDescent="0.3">
      <c r="A188" s="55"/>
    </row>
    <row r="189" spans="1:1" x14ac:dyDescent="0.3">
      <c r="A189" s="55"/>
    </row>
    <row r="190" spans="1:1" x14ac:dyDescent="0.3">
      <c r="A190" s="55"/>
    </row>
    <row r="191" spans="1:1" x14ac:dyDescent="0.3">
      <c r="A191" s="55"/>
    </row>
    <row r="192" spans="1:1" x14ac:dyDescent="0.3">
      <c r="A192" s="55"/>
    </row>
    <row r="193" spans="1:1" x14ac:dyDescent="0.3">
      <c r="A193" s="55"/>
    </row>
    <row r="194" spans="1:1" x14ac:dyDescent="0.3">
      <c r="A194" s="55"/>
    </row>
    <row r="195" spans="1:1" x14ac:dyDescent="0.3">
      <c r="A195" s="55"/>
    </row>
    <row r="196" spans="1:1" x14ac:dyDescent="0.3">
      <c r="A196" s="55"/>
    </row>
    <row r="197" spans="1:1" x14ac:dyDescent="0.3">
      <c r="A197" s="55"/>
    </row>
    <row r="198" spans="1:1" x14ac:dyDescent="0.3">
      <c r="A198" s="55"/>
    </row>
    <row r="199" spans="1:1" x14ac:dyDescent="0.3">
      <c r="A199" s="55"/>
    </row>
    <row r="200" spans="1:1" x14ac:dyDescent="0.3">
      <c r="A200" s="55"/>
    </row>
    <row r="201" spans="1:1" x14ac:dyDescent="0.3">
      <c r="A201" s="55"/>
    </row>
    <row r="202" spans="1:1" x14ac:dyDescent="0.3">
      <c r="A202" s="55"/>
    </row>
    <row r="203" spans="1:1" x14ac:dyDescent="0.3">
      <c r="A203" s="55"/>
    </row>
  </sheetData>
  <conditionalFormatting sqref="E3 G3:I3 K3">
    <cfRule type="cellIs" dxfId="15" priority="15" operator="equal">
      <formula>0</formula>
    </cfRule>
    <cfRule type="cellIs" dxfId="14" priority="16" operator="notEqual">
      <formula>0</formula>
    </cfRule>
  </conditionalFormatting>
  <conditionalFormatting sqref="K3">
    <cfRule type="expression" dxfId="13" priority="14">
      <formula>ISERROR($K$3)</formula>
    </cfRule>
  </conditionalFormatting>
  <conditionalFormatting sqref="I3">
    <cfRule type="expression" dxfId="12" priority="13">
      <formula>ISERROR(I3)</formula>
    </cfRule>
  </conditionalFormatting>
  <conditionalFormatting sqref="K3">
    <cfRule type="expression" dxfId="11" priority="12">
      <formula>ISERROR(K3)</formula>
    </cfRule>
  </conditionalFormatting>
  <conditionalFormatting sqref="E3">
    <cfRule type="expression" dxfId="10" priority="11">
      <formula>ISERROR(E3)</formula>
    </cfRule>
  </conditionalFormatting>
  <conditionalFormatting sqref="G3">
    <cfRule type="expression" dxfId="9" priority="10">
      <formula>ISERROR(G3)</formula>
    </cfRule>
  </conditionalFormatting>
  <conditionalFormatting sqref="H3">
    <cfRule type="expression" dxfId="8" priority="9">
      <formula>ISERROR(H3)</formula>
    </cfRule>
  </conditionalFormatting>
  <conditionalFormatting sqref="G3">
    <cfRule type="expression" dxfId="7" priority="8">
      <formula>ISERROR(G3)</formula>
    </cfRule>
  </conditionalFormatting>
  <conditionalFormatting sqref="H3">
    <cfRule type="expression" dxfId="6" priority="7">
      <formula>ISERROR(H3)</formula>
    </cfRule>
  </conditionalFormatting>
  <conditionalFormatting sqref="I3">
    <cfRule type="expression" dxfId="5" priority="6">
      <formula>ISERROR(I3)</formula>
    </cfRule>
  </conditionalFormatting>
  <conditionalFormatting sqref="K3">
    <cfRule type="expression" dxfId="4" priority="5">
      <formula>ISERROR(K3)</formula>
    </cfRule>
  </conditionalFormatting>
  <conditionalFormatting sqref="I3">
    <cfRule type="expression" dxfId="3" priority="4">
      <formula>ISERROR(I3)</formula>
    </cfRule>
  </conditionalFormatting>
  <conditionalFormatting sqref="K3">
    <cfRule type="expression" dxfId="2" priority="3">
      <formula>ISERROR(K3)</formula>
    </cfRule>
  </conditionalFormatting>
  <conditionalFormatting sqref="K3">
    <cfRule type="expression" dxfId="1" priority="2">
      <formula>ISERROR(K3)</formula>
    </cfRule>
  </conditionalFormatting>
  <conditionalFormatting sqref="K3">
    <cfRule type="expression" dxfId="0" priority="1">
      <formula>ISERROR(K3)</formula>
    </cfRule>
  </conditionalFormatting>
  <pageMargins left="0.7" right="0.7" top="0.75" bottom="0.75" header="0.3" footer="0.3"/>
  <pageSetup orientation="portrait" r:id="rId1"/>
  <customProperties>
    <customPr name="EpmWorksheetKeyString_GU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198"/>
  <sheetViews>
    <sheetView zoomScale="85" zoomScaleNormal="85" workbookViewId="0">
      <pane ySplit="10" topLeftCell="A11" activePane="bottomLeft" state="frozen"/>
      <selection activeCell="F5" sqref="F5"/>
      <selection pane="bottomLeft" activeCell="C18" sqref="C18"/>
    </sheetView>
  </sheetViews>
  <sheetFormatPr defaultColWidth="9.109375" defaultRowHeight="13.2" outlineLevelCol="2" x14ac:dyDescent="0.25"/>
  <cols>
    <col min="1" max="1" width="5" style="6" bestFit="1" customWidth="1"/>
    <col min="2" max="2" width="76.44140625" style="6" bestFit="1" customWidth="1"/>
    <col min="3" max="3" width="25.88671875" style="6" customWidth="1"/>
    <col min="4" max="4" width="5" style="6" customWidth="1" outlineLevel="1"/>
    <col min="5" max="5" width="41.6640625" style="6" customWidth="1" outlineLevel="1"/>
    <col min="6" max="8" width="12.109375" style="6" customWidth="1" outlineLevel="1"/>
    <col min="9" max="9" width="5" style="6" customWidth="1" outlineLevel="1"/>
    <col min="10" max="10" width="61.6640625" style="6" customWidth="1"/>
    <col min="11" max="11" width="11.5546875" style="6" customWidth="1" outlineLevel="1"/>
    <col min="12" max="12" width="9.109375" style="6" customWidth="1" outlineLevel="1"/>
    <col min="13" max="13" width="11.6640625" style="6" customWidth="1" outlineLevel="1"/>
    <col min="14" max="14" width="5" style="6" customWidth="1" outlineLevel="1"/>
    <col min="15" max="15" width="77.88671875" style="6" customWidth="1" outlineLevel="1"/>
    <col min="16" max="16" width="25" style="6" customWidth="1" outlineLevel="1"/>
    <col min="17" max="17" width="5.109375" style="6" customWidth="1" outlineLevel="1"/>
    <col min="18" max="18" width="43.44140625" style="6" customWidth="1" outlineLevel="1"/>
    <col min="19" max="19" width="16.88671875" style="6" customWidth="1" outlineLevel="1"/>
    <col min="20" max="20" width="13.44140625" style="6" customWidth="1" outlineLevel="1"/>
    <col min="21" max="21" width="16" style="6" customWidth="1" outlineLevel="1"/>
    <col min="22" max="22" width="4.44140625" style="6" customWidth="1" outlineLevel="1"/>
    <col min="23" max="23" width="47" style="6" customWidth="1" outlineLevel="1"/>
    <col min="24" max="24" width="14.5546875" style="6" hidden="1" customWidth="1" outlineLevel="2"/>
    <col min="25" max="25" width="25.109375" style="6" hidden="1" customWidth="1" outlineLevel="2"/>
    <col min="26" max="26" width="4.5546875" style="6" hidden="1" customWidth="1" outlineLevel="2"/>
    <col min="27" max="27" width="20.88671875" style="6" hidden="1" customWidth="1" outlineLevel="2"/>
    <col min="28" max="28" width="13.109375" style="6" hidden="1" customWidth="1" outlineLevel="2"/>
    <col min="29" max="29" width="9.109375" style="6" hidden="1" customWidth="1" outlineLevel="2"/>
    <col min="30" max="30" width="14.5546875" style="6" customWidth="1" outlineLevel="1" collapsed="1"/>
    <col min="31" max="31" width="25.109375" style="6" customWidth="1" outlineLevel="1"/>
    <col min="32" max="32" width="4.5546875" style="6" customWidth="1" outlineLevel="1"/>
    <col min="33" max="33" width="17.33203125" style="6" customWidth="1" outlineLevel="1"/>
    <col min="34" max="34" width="13.109375" style="6" customWidth="1" outlineLevel="1"/>
    <col min="35" max="35" width="9.109375" style="6" customWidth="1" outlineLevel="1"/>
    <col min="36" max="37" width="9.109375" style="6"/>
    <col min="38" max="38" width="15.33203125" style="6" bestFit="1" customWidth="1"/>
    <col min="39" max="39" width="19.44140625" style="6" customWidth="1"/>
    <col min="40" max="40" width="12.33203125" style="6" bestFit="1" customWidth="1"/>
    <col min="41" max="41" width="15.33203125" style="6" bestFit="1" customWidth="1"/>
    <col min="42" max="44" width="9.109375" style="6"/>
    <col min="45" max="45" width="16.6640625" style="6" customWidth="1"/>
    <col min="46" max="16384" width="9.109375" style="6"/>
  </cols>
  <sheetData>
    <row r="1" spans="1:46" ht="17.399999999999999" x14ac:dyDescent="0.3">
      <c r="C1" s="215" t="s">
        <v>793</v>
      </c>
      <c r="G1" s="25" t="s">
        <v>843</v>
      </c>
      <c r="H1" s="27"/>
      <c r="K1" s="25" t="s">
        <v>794</v>
      </c>
      <c r="L1" s="26"/>
      <c r="M1" s="27"/>
      <c r="P1" s="215" t="s">
        <v>795</v>
      </c>
      <c r="T1" s="25" t="s">
        <v>796</v>
      </c>
      <c r="U1" s="216"/>
      <c r="V1" s="553" t="s">
        <v>666</v>
      </c>
      <c r="W1" s="312"/>
      <c r="X1" s="226"/>
      <c r="Y1" s="226"/>
      <c r="Z1" s="226"/>
      <c r="AA1" s="226"/>
      <c r="AB1" s="226"/>
      <c r="AC1" s="226"/>
      <c r="AD1" s="554"/>
      <c r="AE1" s="554"/>
      <c r="AF1" s="554"/>
      <c r="AG1" s="25" t="s">
        <v>797</v>
      </c>
      <c r="AH1" s="216"/>
    </row>
    <row r="2" spans="1:46" ht="17.399999999999999" x14ac:dyDescent="0.3">
      <c r="A2" s="183" t="s">
        <v>45</v>
      </c>
      <c r="B2" s="183"/>
      <c r="C2" s="183"/>
      <c r="D2" s="183" t="s">
        <v>45</v>
      </c>
      <c r="E2" s="183"/>
      <c r="F2" s="183"/>
      <c r="G2" s="183"/>
      <c r="H2" s="183"/>
      <c r="I2" s="183"/>
      <c r="J2" s="183" t="s">
        <v>45</v>
      </c>
      <c r="K2" s="2"/>
      <c r="L2" s="2"/>
      <c r="M2" s="2"/>
      <c r="N2" s="183" t="s">
        <v>45</v>
      </c>
      <c r="O2" s="183"/>
      <c r="P2" s="183"/>
      <c r="Q2" s="183" t="s">
        <v>45</v>
      </c>
      <c r="R2" s="183"/>
      <c r="S2" s="183"/>
      <c r="T2" s="2"/>
      <c r="U2" s="2"/>
      <c r="V2" s="555" t="s">
        <v>665</v>
      </c>
      <c r="W2" s="556"/>
      <c r="X2" s="226"/>
      <c r="Y2" s="226"/>
      <c r="Z2" s="226"/>
      <c r="AA2" s="226"/>
      <c r="AB2" s="226"/>
      <c r="AC2" s="226"/>
      <c r="AD2" s="554"/>
      <c r="AE2" s="554"/>
      <c r="AF2" s="554"/>
      <c r="AG2" s="554"/>
      <c r="AH2" s="274"/>
    </row>
    <row r="3" spans="1:46" ht="16.2" thickBot="1" x14ac:dyDescent="0.35">
      <c r="A3" s="183" t="s">
        <v>72</v>
      </c>
      <c r="B3" s="183"/>
      <c r="C3" s="183"/>
      <c r="D3" s="183" t="s">
        <v>72</v>
      </c>
      <c r="E3" s="183"/>
      <c r="F3" s="183"/>
      <c r="G3" s="183"/>
      <c r="H3" s="183"/>
      <c r="I3" s="183"/>
      <c r="J3" s="183" t="s">
        <v>72</v>
      </c>
      <c r="K3" s="2"/>
      <c r="L3" s="2"/>
      <c r="M3" s="2"/>
      <c r="N3" s="183" t="s">
        <v>72</v>
      </c>
      <c r="O3" s="183"/>
      <c r="P3" s="183"/>
      <c r="Q3" s="183" t="s">
        <v>72</v>
      </c>
      <c r="R3" s="183"/>
      <c r="S3" s="183"/>
      <c r="T3" s="2"/>
      <c r="U3" s="2"/>
      <c r="V3" s="557"/>
      <c r="W3" s="556"/>
      <c r="X3" s="226"/>
      <c r="Y3" s="226"/>
      <c r="Z3" s="226"/>
      <c r="AA3" s="226"/>
      <c r="AB3" s="226"/>
      <c r="AC3" s="226"/>
      <c r="AD3" s="554"/>
      <c r="AE3" s="554"/>
      <c r="AF3" s="554"/>
      <c r="AG3" s="554"/>
      <c r="AH3" s="554"/>
    </row>
    <row r="4" spans="1:46" ht="18.600000000000001" thickBot="1" x14ac:dyDescent="0.4">
      <c r="A4" s="183" t="str">
        <f>CASE_E</f>
        <v>2019 GENERAL RATE CASE</v>
      </c>
      <c r="B4" s="183"/>
      <c r="C4" s="183"/>
      <c r="D4" s="183" t="str">
        <f>CASE_E</f>
        <v>2019 GENERAL RATE CASE</v>
      </c>
      <c r="E4" s="183"/>
      <c r="F4" s="183"/>
      <c r="G4" s="183"/>
      <c r="H4" s="183"/>
      <c r="I4" s="183"/>
      <c r="J4" s="183" t="str">
        <f>CASE_E</f>
        <v>2019 GENERAL RATE CASE</v>
      </c>
      <c r="K4" s="2"/>
      <c r="L4" s="2"/>
      <c r="M4" s="2"/>
      <c r="N4" s="183" t="str">
        <f>CASE_E</f>
        <v>2019 GENERAL RATE CASE</v>
      </c>
      <c r="O4" s="183"/>
      <c r="P4" s="183"/>
      <c r="Q4" s="183" t="str">
        <f>CASE_E</f>
        <v>2019 GENERAL RATE CASE</v>
      </c>
      <c r="R4" s="183"/>
      <c r="S4" s="183"/>
      <c r="T4" s="2"/>
      <c r="U4" s="2"/>
      <c r="V4" s="557"/>
      <c r="W4" s="556"/>
      <c r="X4" s="558" t="s">
        <v>664</v>
      </c>
      <c r="Y4" s="559"/>
      <c r="Z4" s="559"/>
      <c r="AA4" s="560"/>
      <c r="AB4" s="561"/>
      <c r="AC4" s="562"/>
      <c r="AD4" s="558" t="s">
        <v>663</v>
      </c>
      <c r="AE4" s="559"/>
      <c r="AF4" s="559"/>
      <c r="AG4" s="560"/>
      <c r="AH4" s="561"/>
    </row>
    <row r="5" spans="1:46" ht="14.4" x14ac:dyDescent="0.3">
      <c r="A5" s="183" t="str">
        <f>TESTYEAR_E</f>
        <v>12 MONTHS ENDED DECEMBER 31, 2018</v>
      </c>
      <c r="B5" s="183"/>
      <c r="C5" s="183"/>
      <c r="D5" s="183" t="str">
        <f>TESTYEAR_E</f>
        <v>12 MONTHS ENDED DECEMBER 31, 2018</v>
      </c>
      <c r="E5" s="183"/>
      <c r="F5" s="183"/>
      <c r="G5" s="183"/>
      <c r="H5" s="183"/>
      <c r="I5" s="183"/>
      <c r="J5" s="183" t="str">
        <f>TESTYEAR_E</f>
        <v>12 MONTHS ENDED DECEMBER 31, 2018</v>
      </c>
      <c r="K5" s="2"/>
      <c r="L5" s="2"/>
      <c r="M5" s="2"/>
      <c r="N5" s="183" t="str">
        <f>TESTYEAR_E</f>
        <v>12 MONTHS ENDED DECEMBER 31, 2018</v>
      </c>
      <c r="O5" s="183"/>
      <c r="P5" s="183"/>
      <c r="Q5" s="183" t="str">
        <f>TESTYEAR_E</f>
        <v>12 MONTHS ENDED DECEMBER 31, 2018</v>
      </c>
      <c r="R5" s="183"/>
      <c r="S5" s="183"/>
      <c r="T5" s="2"/>
      <c r="U5" s="2"/>
      <c r="V5" s="563" t="s">
        <v>662</v>
      </c>
      <c r="W5" s="564"/>
      <c r="X5" s="565" t="s">
        <v>661</v>
      </c>
      <c r="Y5" s="566"/>
      <c r="Z5" s="566"/>
      <c r="AA5" s="566"/>
      <c r="AB5" s="567"/>
      <c r="AC5" s="226"/>
      <c r="AD5" s="565" t="s">
        <v>661</v>
      </c>
      <c r="AE5" s="568"/>
      <c r="AF5" s="568"/>
      <c r="AG5" s="568"/>
      <c r="AH5" s="569"/>
    </row>
    <row r="6" spans="1:46" s="175" customFormat="1" ht="14.4" x14ac:dyDescent="0.3">
      <c r="A6" s="183" t="s">
        <v>79</v>
      </c>
      <c r="B6" s="183"/>
      <c r="C6" s="183"/>
      <c r="D6" s="183" t="s">
        <v>340</v>
      </c>
      <c r="E6" s="183"/>
      <c r="F6" s="183"/>
      <c r="G6" s="183"/>
      <c r="H6" s="183"/>
      <c r="I6" s="183"/>
      <c r="J6" s="183" t="s">
        <v>78</v>
      </c>
      <c r="K6" s="183"/>
      <c r="L6" s="183"/>
      <c r="M6" s="183"/>
      <c r="N6" s="183" t="s">
        <v>79</v>
      </c>
      <c r="O6" s="183"/>
      <c r="P6" s="183"/>
      <c r="Q6" s="183" t="s">
        <v>79</v>
      </c>
      <c r="R6" s="183"/>
      <c r="S6" s="183"/>
      <c r="T6" s="183"/>
      <c r="U6" s="183"/>
      <c r="V6" s="563">
        <v>3</v>
      </c>
      <c r="W6" s="570" t="s">
        <v>660</v>
      </c>
      <c r="X6" s="571">
        <v>199079031.3739852</v>
      </c>
      <c r="Y6" s="572"/>
      <c r="Z6" s="572"/>
      <c r="AA6" s="572"/>
      <c r="AB6" s="573"/>
      <c r="AC6" s="226"/>
      <c r="AD6" s="571">
        <f>+X6</f>
        <v>199079031.3739852</v>
      </c>
      <c r="AE6" s="572"/>
      <c r="AF6" s="572"/>
      <c r="AG6" s="572"/>
      <c r="AH6" s="573"/>
    </row>
    <row r="7" spans="1:46" ht="14.4" x14ac:dyDescent="0.3">
      <c r="B7" s="2"/>
      <c r="C7" s="2"/>
      <c r="E7" s="2"/>
      <c r="F7" s="2"/>
      <c r="G7" s="2"/>
      <c r="H7" s="2"/>
      <c r="I7" s="2"/>
      <c r="J7" s="2"/>
      <c r="K7" s="2"/>
      <c r="L7" s="2"/>
      <c r="M7" s="2"/>
      <c r="O7" s="2"/>
      <c r="P7" s="2"/>
      <c r="V7" s="563">
        <v>4</v>
      </c>
      <c r="W7" s="570" t="s">
        <v>659</v>
      </c>
      <c r="X7" s="574">
        <v>85738601.034227908</v>
      </c>
      <c r="Y7" s="575"/>
      <c r="Z7" s="575"/>
      <c r="AA7" s="575"/>
      <c r="AB7" s="576"/>
      <c r="AC7" s="226"/>
      <c r="AD7" s="574">
        <f>+X7</f>
        <v>85738601.034227908</v>
      </c>
      <c r="AE7" s="575"/>
      <c r="AF7" s="575"/>
      <c r="AG7" s="575"/>
      <c r="AH7" s="576"/>
    </row>
    <row r="8" spans="1:46" ht="14.4" x14ac:dyDescent="0.3">
      <c r="I8" s="2"/>
      <c r="J8" s="2"/>
      <c r="K8" s="2"/>
      <c r="L8" s="2"/>
      <c r="V8" s="563">
        <v>5</v>
      </c>
      <c r="W8" s="570" t="s">
        <v>658</v>
      </c>
      <c r="X8" s="574">
        <v>1961447671.7378278</v>
      </c>
      <c r="Y8" s="575"/>
      <c r="Z8" s="217"/>
      <c r="AA8" s="577" t="s">
        <v>657</v>
      </c>
      <c r="AB8" s="578">
        <v>3.8393999999999998E-2</v>
      </c>
      <c r="AC8" s="226"/>
      <c r="AD8" s="574">
        <f>+X8</f>
        <v>1961447671.7378278</v>
      </c>
      <c r="AE8" s="575"/>
      <c r="AF8" s="217"/>
      <c r="AG8" s="577" t="s">
        <v>656</v>
      </c>
      <c r="AH8" s="579">
        <v>3.8172439532610514E-2</v>
      </c>
    </row>
    <row r="9" spans="1:46" ht="14.4" x14ac:dyDescent="0.3">
      <c r="A9" s="289" t="s">
        <v>43</v>
      </c>
      <c r="B9" s="289"/>
      <c r="D9" s="289" t="s">
        <v>43</v>
      </c>
      <c r="E9" s="289"/>
      <c r="F9" s="16" t="s">
        <v>350</v>
      </c>
      <c r="H9" s="16" t="s">
        <v>352</v>
      </c>
      <c r="I9" s="289" t="s">
        <v>43</v>
      </c>
      <c r="J9" s="289"/>
      <c r="K9" s="289"/>
      <c r="N9" s="289" t="s">
        <v>43</v>
      </c>
      <c r="O9" s="289"/>
      <c r="Q9" s="289" t="s">
        <v>43</v>
      </c>
      <c r="R9" s="175"/>
      <c r="S9" s="16"/>
      <c r="T9" s="16" t="s">
        <v>600</v>
      </c>
      <c r="U9" s="16"/>
      <c r="V9" s="563">
        <v>6</v>
      </c>
      <c r="W9" s="580"/>
      <c r="X9" s="581">
        <f>SUM(X6:X8)</f>
        <v>2246265304.1460409</v>
      </c>
      <c r="Y9" s="575"/>
      <c r="Z9" s="582"/>
      <c r="AA9" s="583"/>
      <c r="AB9" s="578">
        <f>1-AB8</f>
        <v>0.96160599999999996</v>
      </c>
      <c r="AC9" s="226"/>
      <c r="AD9" s="581">
        <f>SUM(AD6:AD8)</f>
        <v>2246265304.1460409</v>
      </c>
      <c r="AE9" s="575"/>
      <c r="AF9" s="584"/>
      <c r="AG9" s="585"/>
      <c r="AH9" s="578">
        <f>1-AH8</f>
        <v>0.96182756046738949</v>
      </c>
    </row>
    <row r="10" spans="1:46" ht="14.4" x14ac:dyDescent="0.3">
      <c r="A10" s="292" t="s">
        <v>44</v>
      </c>
      <c r="B10" s="292" t="s">
        <v>73</v>
      </c>
      <c r="C10" s="185"/>
      <c r="D10" s="292" t="s">
        <v>44</v>
      </c>
      <c r="E10" s="292" t="s">
        <v>73</v>
      </c>
      <c r="F10" s="36" t="s">
        <v>351</v>
      </c>
      <c r="G10" s="36" t="s">
        <v>336</v>
      </c>
      <c r="H10" s="36" t="s">
        <v>336</v>
      </c>
      <c r="I10" s="292" t="s">
        <v>44</v>
      </c>
      <c r="J10" s="292" t="s">
        <v>73</v>
      </c>
      <c r="K10" s="292"/>
      <c r="L10" s="185"/>
      <c r="M10" s="185"/>
      <c r="N10" s="292" t="s">
        <v>44</v>
      </c>
      <c r="O10" s="292" t="s">
        <v>73</v>
      </c>
      <c r="P10" s="292" t="s">
        <v>588</v>
      </c>
      <c r="Q10" s="292" t="s">
        <v>44</v>
      </c>
      <c r="R10" s="36" t="s">
        <v>122</v>
      </c>
      <c r="S10" s="36" t="s">
        <v>599</v>
      </c>
      <c r="T10" s="36" t="s">
        <v>598</v>
      </c>
      <c r="U10" s="36" t="s">
        <v>597</v>
      </c>
      <c r="V10" s="563">
        <v>7</v>
      </c>
      <c r="W10" s="570" t="s">
        <v>655</v>
      </c>
      <c r="X10" s="586">
        <v>6.5500000000000003E-2</v>
      </c>
      <c r="Y10" s="587"/>
      <c r="Z10" s="582"/>
      <c r="AA10" s="582" t="s">
        <v>606</v>
      </c>
      <c r="AB10" s="588" t="s">
        <v>654</v>
      </c>
      <c r="AC10" s="226"/>
      <c r="AD10" s="586">
        <f>+X10</f>
        <v>6.5500000000000003E-2</v>
      </c>
      <c r="AE10" s="587"/>
      <c r="AF10" s="584"/>
      <c r="AG10" s="582" t="s">
        <v>606</v>
      </c>
      <c r="AH10" s="588" t="s">
        <v>654</v>
      </c>
      <c r="AK10" s="156"/>
      <c r="AL10" s="156"/>
      <c r="AM10" s="156"/>
      <c r="AN10" s="156"/>
      <c r="AO10" s="156"/>
      <c r="AP10" s="156"/>
      <c r="AQ10" s="156"/>
      <c r="AR10" s="156"/>
      <c r="AS10" s="156"/>
      <c r="AT10" s="156"/>
    </row>
    <row r="11" spans="1:46" ht="14.4" x14ac:dyDescent="0.3">
      <c r="R11" s="156"/>
      <c r="S11" s="156"/>
      <c r="T11" s="156"/>
      <c r="U11" s="156"/>
      <c r="V11" s="563">
        <v>8</v>
      </c>
      <c r="W11" s="589"/>
      <c r="X11" s="590"/>
      <c r="Y11" s="584" t="s">
        <v>653</v>
      </c>
      <c r="Z11" s="584"/>
      <c r="AA11" s="584" t="s">
        <v>652</v>
      </c>
      <c r="AB11" s="632" t="s">
        <v>652</v>
      </c>
      <c r="AC11" s="226"/>
      <c r="AD11" s="590"/>
      <c r="AE11" s="584" t="s">
        <v>653</v>
      </c>
      <c r="AF11" s="584"/>
      <c r="AG11" s="584" t="s">
        <v>652</v>
      </c>
      <c r="AH11" s="632" t="s">
        <v>652</v>
      </c>
      <c r="AK11" s="6" t="s">
        <v>917</v>
      </c>
      <c r="AL11" s="8"/>
      <c r="AM11" s="6" t="s">
        <v>918</v>
      </c>
      <c r="AN11" s="156"/>
      <c r="AO11" s="156"/>
      <c r="AP11" s="156"/>
      <c r="AQ11" s="156"/>
      <c r="AR11" s="156"/>
      <c r="AS11" s="156"/>
      <c r="AT11" s="156"/>
    </row>
    <row r="12" spans="1:46" ht="14.4" x14ac:dyDescent="0.3">
      <c r="A12" s="266">
        <v>1</v>
      </c>
      <c r="B12" s="1" t="s">
        <v>74</v>
      </c>
      <c r="C12" s="8">
        <f>Summary!G48</f>
        <v>5510161280.5417719</v>
      </c>
      <c r="D12" s="266">
        <v>1</v>
      </c>
      <c r="E12" s="1" t="s">
        <v>204</v>
      </c>
      <c r="F12" s="4">
        <v>0.51500000000000001</v>
      </c>
      <c r="G12" s="4">
        <v>5.4951456310679617E-2</v>
      </c>
      <c r="H12" s="4">
        <f>ROUND(F12*G12,4)</f>
        <v>2.8299999999999999E-2</v>
      </c>
      <c r="I12" s="266">
        <v>1</v>
      </c>
      <c r="J12" s="316" t="s">
        <v>82</v>
      </c>
      <c r="K12" s="1"/>
      <c r="L12" s="1"/>
      <c r="M12" s="3">
        <f>'Common Adj'!AY15</f>
        <v>8.4790000000000004E-3</v>
      </c>
      <c r="N12" s="266">
        <v>1</v>
      </c>
      <c r="O12" s="1" t="s">
        <v>704</v>
      </c>
      <c r="P12" s="8">
        <v>83674559.605513886</v>
      </c>
      <c r="Q12" s="266">
        <v>1</v>
      </c>
      <c r="R12" s="6" t="s">
        <v>596</v>
      </c>
      <c r="S12" s="8">
        <v>732100742.29690671</v>
      </c>
      <c r="T12" s="8">
        <f>'COC, Def, ConvF'!AH37</f>
        <v>670031043.74581277</v>
      </c>
      <c r="V12" s="563">
        <v>9</v>
      </c>
      <c r="W12" s="591"/>
      <c r="X12" s="590"/>
      <c r="Y12" s="584" t="s">
        <v>651</v>
      </c>
      <c r="Z12" s="594" t="s">
        <v>650</v>
      </c>
      <c r="AA12" s="594" t="s">
        <v>649</v>
      </c>
      <c r="AB12" s="633" t="s">
        <v>648</v>
      </c>
      <c r="AC12" s="226"/>
      <c r="AD12" s="590"/>
      <c r="AE12" s="584" t="s">
        <v>651</v>
      </c>
      <c r="AF12" s="594" t="s">
        <v>650</v>
      </c>
      <c r="AG12" s="594" t="s">
        <v>649</v>
      </c>
      <c r="AH12" s="633" t="s">
        <v>648</v>
      </c>
      <c r="AK12" s="266">
        <v>1</v>
      </c>
      <c r="AL12" s="8">
        <v>5428588080.5290194</v>
      </c>
      <c r="AM12" s="8">
        <f>+C12-AL12</f>
        <v>81573200.012752533</v>
      </c>
      <c r="AN12" s="156"/>
      <c r="AO12" s="156"/>
      <c r="AP12" s="156"/>
      <c r="AQ12" s="156"/>
      <c r="AR12" s="156"/>
      <c r="AS12" s="156"/>
      <c r="AT12" s="156"/>
    </row>
    <row r="13" spans="1:46" ht="14.4" x14ac:dyDescent="0.3">
      <c r="A13" s="266">
        <f t="shared" ref="A13:A40" si="0">A12+1</f>
        <v>2</v>
      </c>
      <c r="B13" s="316" t="s">
        <v>31</v>
      </c>
      <c r="C13" s="4">
        <f>H14</f>
        <v>7.4399999999999994E-2</v>
      </c>
      <c r="D13" s="266">
        <f t="shared" ref="D13:D18" si="1">D12+1</f>
        <v>2</v>
      </c>
      <c r="E13" s="1" t="s">
        <v>80</v>
      </c>
      <c r="F13" s="4">
        <v>0.48499999999999999</v>
      </c>
      <c r="G13" s="4">
        <v>9.5000000000000001E-2</v>
      </c>
      <c r="H13" s="4">
        <f>ROUND(F13*G13,4)</f>
        <v>4.6100000000000002E-2</v>
      </c>
      <c r="I13" s="266">
        <f t="shared" ref="I13:I20" si="2">I12+1</f>
        <v>2</v>
      </c>
      <c r="J13" s="316" t="s">
        <v>83</v>
      </c>
      <c r="K13" s="1"/>
      <c r="L13" s="1"/>
      <c r="M13" s="3">
        <v>2E-3</v>
      </c>
      <c r="N13" s="266">
        <f>N12+1</f>
        <v>2</v>
      </c>
      <c r="O13" s="1" t="s">
        <v>703</v>
      </c>
      <c r="P13" s="9">
        <f>C26</f>
        <v>-3124000</v>
      </c>
      <c r="Q13" s="266">
        <f>Q12+1</f>
        <v>2</v>
      </c>
      <c r="R13" s="6" t="s">
        <v>595</v>
      </c>
      <c r="S13" s="218">
        <v>0.95111500000000004</v>
      </c>
      <c r="T13" s="218">
        <f>'COC, Def, ConvF'!AD38</f>
        <v>0.95238599999999995</v>
      </c>
      <c r="V13" s="563" t="s">
        <v>647</v>
      </c>
      <c r="W13" s="570"/>
      <c r="X13" s="634" t="s">
        <v>646</v>
      </c>
      <c r="Y13" s="584" t="s">
        <v>645</v>
      </c>
      <c r="Z13" s="584" t="s">
        <v>644</v>
      </c>
      <c r="AA13" s="594" t="s">
        <v>643</v>
      </c>
      <c r="AB13" s="633" t="s">
        <v>642</v>
      </c>
      <c r="AC13" s="226"/>
      <c r="AD13" s="634" t="s">
        <v>646</v>
      </c>
      <c r="AE13" s="584" t="s">
        <v>645</v>
      </c>
      <c r="AF13" s="584" t="s">
        <v>644</v>
      </c>
      <c r="AG13" s="594" t="s">
        <v>643</v>
      </c>
      <c r="AH13" s="633" t="s">
        <v>642</v>
      </c>
      <c r="AK13" s="266">
        <v>2</v>
      </c>
      <c r="AL13" s="4">
        <v>7.6200000000000004E-2</v>
      </c>
      <c r="AM13" s="8">
        <f t="shared" ref="AM13:AM40" si="3">+C13-AL13</f>
        <v>-1.8000000000000099E-3</v>
      </c>
      <c r="AN13" s="156"/>
      <c r="AO13" s="156"/>
      <c r="AP13" s="156"/>
      <c r="AQ13" s="156"/>
      <c r="AR13" s="156"/>
      <c r="AS13" s="156"/>
      <c r="AT13" s="156"/>
    </row>
    <row r="14" spans="1:46" ht="14.4" x14ac:dyDescent="0.3">
      <c r="A14" s="266">
        <f t="shared" si="0"/>
        <v>3</v>
      </c>
      <c r="B14" s="316"/>
      <c r="C14" s="10"/>
      <c r="D14" s="266">
        <f t="shared" si="1"/>
        <v>3</v>
      </c>
      <c r="E14" s="1" t="s">
        <v>66</v>
      </c>
      <c r="F14" s="28">
        <f>SUM(F12:F13)</f>
        <v>1</v>
      </c>
      <c r="G14" s="10"/>
      <c r="H14" s="211">
        <f>SUM(H12:H13)</f>
        <v>7.4399999999999994E-2</v>
      </c>
      <c r="I14" s="266">
        <f t="shared" si="2"/>
        <v>3</v>
      </c>
      <c r="J14" s="316" t="str">
        <f>"STATE UTILITY TAX ( "&amp;M14*100&amp;"% - ( LINE 1 * "&amp;M14*100&amp;"% )  )"</f>
        <v>STATE UTILITY TAX ( 3.8406% - ( LINE 1 * 3.8406% )  )</v>
      </c>
      <c r="L14" s="525">
        <v>3.8733999999999998E-2</v>
      </c>
      <c r="M14" s="592">
        <f>ROUND(L14-(L14*M12),6)</f>
        <v>3.8406000000000003E-2</v>
      </c>
      <c r="N14" s="266">
        <f>N13+1</f>
        <v>3</v>
      </c>
      <c r="O14" s="1" t="s">
        <v>589</v>
      </c>
      <c r="P14" s="9">
        <f>U18</f>
        <v>57431890.556382224</v>
      </c>
      <c r="Q14" s="266">
        <f t="shared" ref="Q14:Q18" si="4">Q13+1</f>
        <v>3</v>
      </c>
      <c r="R14" s="6" t="s">
        <v>594</v>
      </c>
      <c r="S14" s="219">
        <f>S12/S13</f>
        <v>769728941.60738361</v>
      </c>
      <c r="T14" s="219">
        <f>T12/T13</f>
        <v>703528867.23010707</v>
      </c>
      <c r="V14" s="563">
        <v>10</v>
      </c>
      <c r="W14" s="570" t="s">
        <v>641</v>
      </c>
      <c r="X14" s="571">
        <f>X6*$AD$10/0.65</f>
        <v>20061040.853840046</v>
      </c>
      <c r="Y14" s="593">
        <f t="shared" ref="Y14:Y35" si="5">+X14/$X$40</f>
        <v>0.96804716672893398</v>
      </c>
      <c r="Z14" s="594" t="s">
        <v>612</v>
      </c>
      <c r="AA14" s="595">
        <f>+X14</f>
        <v>20061040.853840046</v>
      </c>
      <c r="AB14" s="596">
        <v>0</v>
      </c>
      <c r="AC14" s="597"/>
      <c r="AD14" s="571">
        <f>AD6*$AD$10/0.65</f>
        <v>20061040.853840046</v>
      </c>
      <c r="AE14" s="593">
        <f t="shared" ref="AE14:AE35" si="6">+AD14/$AD$40</f>
        <v>0.98905888701150779</v>
      </c>
      <c r="AF14" s="594" t="s">
        <v>612</v>
      </c>
      <c r="AG14" s="595">
        <f>+AD14</f>
        <v>20061040.853840046</v>
      </c>
      <c r="AH14" s="596">
        <v>0</v>
      </c>
      <c r="AK14" s="266">
        <v>3</v>
      </c>
      <c r="AL14" s="10"/>
      <c r="AM14" s="8">
        <f t="shared" si="3"/>
        <v>0</v>
      </c>
      <c r="AN14" s="156"/>
      <c r="AO14" s="156"/>
      <c r="AP14" s="156"/>
      <c r="AQ14" s="156"/>
      <c r="AR14" s="156"/>
      <c r="AS14" s="156"/>
      <c r="AT14" s="156"/>
    </row>
    <row r="15" spans="1:46" ht="14.4" x14ac:dyDescent="0.3">
      <c r="A15" s="266">
        <f t="shared" si="0"/>
        <v>4</v>
      </c>
      <c r="B15" s="1" t="s">
        <v>75</v>
      </c>
      <c r="C15" s="221">
        <f>+C13*C12</f>
        <v>409955999.27230781</v>
      </c>
      <c r="D15" s="266">
        <f t="shared" si="1"/>
        <v>4</v>
      </c>
      <c r="E15" s="1"/>
      <c r="I15" s="266">
        <f t="shared" si="2"/>
        <v>4</v>
      </c>
      <c r="J15" s="316"/>
      <c r="K15" s="1"/>
      <c r="L15" s="1"/>
      <c r="M15" s="485"/>
      <c r="N15" s="266">
        <f t="shared" ref="N15:N16" si="7">N14+1</f>
        <v>4</v>
      </c>
      <c r="P15" s="10"/>
      <c r="Q15" s="266">
        <f t="shared" si="4"/>
        <v>4</v>
      </c>
      <c r="R15" s="6" t="s">
        <v>593</v>
      </c>
      <c r="S15" s="13">
        <v>20535748.503355935</v>
      </c>
      <c r="T15" s="13">
        <f>'COC, Def, ConvF'!AD40</f>
        <v>20282959</v>
      </c>
      <c r="V15" s="563" t="s">
        <v>640</v>
      </c>
      <c r="W15" s="570" t="s">
        <v>639</v>
      </c>
      <c r="X15" s="574">
        <v>4769481.1386719989</v>
      </c>
      <c r="Y15" s="593">
        <f t="shared" si="5"/>
        <v>0.23015170233177235</v>
      </c>
      <c r="Z15" s="594" t="s">
        <v>617</v>
      </c>
      <c r="AA15" s="575"/>
      <c r="AB15" s="598">
        <f>+X15</f>
        <v>4769481.1386719989</v>
      </c>
      <c r="AC15" s="597"/>
      <c r="AD15" s="574">
        <f>+X15/$AB$9*$AH$9</f>
        <v>4770580.0590929296</v>
      </c>
      <c r="AE15" s="593">
        <f t="shared" si="6"/>
        <v>0.23520138551248512</v>
      </c>
      <c r="AF15" s="594" t="s">
        <v>617</v>
      </c>
      <c r="AG15" s="575"/>
      <c r="AH15" s="598">
        <f>+AD15</f>
        <v>4770580.0590929296</v>
      </c>
      <c r="AK15" s="266">
        <v>4</v>
      </c>
      <c r="AL15" s="221">
        <v>413658411.73631132</v>
      </c>
      <c r="AM15" s="8">
        <f t="shared" si="3"/>
        <v>-3702412.4640035033</v>
      </c>
      <c r="AN15" s="156"/>
      <c r="AO15" s="156"/>
      <c r="AP15" s="156"/>
      <c r="AQ15" s="156"/>
      <c r="AR15" s="156"/>
      <c r="AS15" s="156"/>
      <c r="AT15" s="156"/>
    </row>
    <row r="16" spans="1:46" ht="15" thickBot="1" x14ac:dyDescent="0.35">
      <c r="A16" s="266">
        <f t="shared" si="0"/>
        <v>5</v>
      </c>
      <c r="B16" s="1"/>
      <c r="D16" s="266">
        <f t="shared" si="1"/>
        <v>5</v>
      </c>
      <c r="E16" s="1" t="s">
        <v>348</v>
      </c>
      <c r="F16" s="4">
        <f>+F12</f>
        <v>0.51500000000000001</v>
      </c>
      <c r="G16" s="4">
        <f>G12*0.79</f>
        <v>4.3411650485436902E-2</v>
      </c>
      <c r="H16" s="4">
        <f>ROUND(H12*0.79,4)</f>
        <v>2.24E-2</v>
      </c>
      <c r="I16" s="266">
        <f t="shared" si="2"/>
        <v>5</v>
      </c>
      <c r="J16" s="316" t="s">
        <v>84</v>
      </c>
      <c r="K16" s="1"/>
      <c r="L16" s="1"/>
      <c r="M16" s="3">
        <f>ROUND(SUM(M12:M14),6)</f>
        <v>4.8884999999999998E-2</v>
      </c>
      <c r="N16" s="266">
        <f t="shared" si="7"/>
        <v>5</v>
      </c>
      <c r="O16" s="6" t="s">
        <v>585</v>
      </c>
      <c r="P16" s="40">
        <f>SUM(P12:P15)</f>
        <v>137982450.16189611</v>
      </c>
      <c r="Q16" s="266">
        <f t="shared" si="4"/>
        <v>5</v>
      </c>
      <c r="R16" s="6" t="s">
        <v>592</v>
      </c>
      <c r="S16" s="600">
        <f>S14/S15</f>
        <v>37.482390353660357</v>
      </c>
      <c r="T16" s="600">
        <f>T14/T15</f>
        <v>34.685711647403473</v>
      </c>
      <c r="U16" s="200">
        <f>S16-T16</f>
        <v>2.7966787062568841</v>
      </c>
      <c r="V16" s="563">
        <v>11</v>
      </c>
      <c r="W16" s="580" t="s">
        <v>638</v>
      </c>
      <c r="X16" s="601">
        <f>X7*$AD$10/0.65</f>
        <v>8639812.8734491207</v>
      </c>
      <c r="Y16" s="593">
        <f t="shared" si="5"/>
        <v>0.41691487665803839</v>
      </c>
      <c r="Z16" s="594" t="s">
        <v>612</v>
      </c>
      <c r="AA16" s="602">
        <f>+X16</f>
        <v>8639812.8734491207</v>
      </c>
      <c r="AB16" s="576"/>
      <c r="AC16" s="597"/>
      <c r="AD16" s="601">
        <f>AD7*$AD$10/0.65</f>
        <v>8639812.8734491207</v>
      </c>
      <c r="AE16" s="593">
        <f t="shared" si="6"/>
        <v>0.42596412453671678</v>
      </c>
      <c r="AF16" s="594" t="s">
        <v>612</v>
      </c>
      <c r="AG16" s="602">
        <f>+AD16</f>
        <v>8639812.8734491207</v>
      </c>
      <c r="AH16" s="576"/>
      <c r="AK16" s="266">
        <v>5</v>
      </c>
      <c r="AM16" s="8">
        <f t="shared" si="3"/>
        <v>0</v>
      </c>
      <c r="AN16" s="156"/>
      <c r="AO16" s="156"/>
      <c r="AP16" s="156"/>
      <c r="AQ16" s="156"/>
      <c r="AR16" s="156"/>
      <c r="AS16" s="156"/>
      <c r="AT16" s="156"/>
    </row>
    <row r="17" spans="1:46" ht="15" thickTop="1" x14ac:dyDescent="0.3">
      <c r="A17" s="266">
        <f t="shared" si="0"/>
        <v>6</v>
      </c>
      <c r="B17" s="316" t="s">
        <v>76</v>
      </c>
      <c r="C17" s="221">
        <f>Summary!G46</f>
        <v>313977292.28217196</v>
      </c>
      <c r="D17" s="266">
        <f t="shared" si="1"/>
        <v>6</v>
      </c>
      <c r="E17" s="1" t="s">
        <v>80</v>
      </c>
      <c r="F17" s="4">
        <f>+F13</f>
        <v>0.48499999999999999</v>
      </c>
      <c r="G17" s="4">
        <f>+G13</f>
        <v>9.5000000000000001E-2</v>
      </c>
      <c r="H17" s="4">
        <f>ROUND(F17*G17,4)</f>
        <v>4.6100000000000002E-2</v>
      </c>
      <c r="I17" s="266">
        <f t="shared" si="2"/>
        <v>6</v>
      </c>
      <c r="J17" s="1"/>
      <c r="K17" s="1"/>
      <c r="L17" s="1"/>
      <c r="M17" s="3"/>
      <c r="N17" s="266"/>
      <c r="Q17" s="266">
        <f t="shared" si="4"/>
        <v>6</v>
      </c>
      <c r="R17" s="6" t="s">
        <v>591</v>
      </c>
      <c r="U17" s="9">
        <f>S15</f>
        <v>20535748.503355935</v>
      </c>
      <c r="V17" s="563">
        <v>12</v>
      </c>
      <c r="W17" s="580" t="s">
        <v>637</v>
      </c>
      <c r="X17" s="574">
        <f>X8*$AD$10/0.65</f>
        <v>197653573.07511958</v>
      </c>
      <c r="Y17" s="593">
        <f t="shared" si="5"/>
        <v>9.5377893302377821</v>
      </c>
      <c r="Z17" s="594" t="s">
        <v>612</v>
      </c>
      <c r="AA17" s="602">
        <f>+X17</f>
        <v>197653573.07511958</v>
      </c>
      <c r="AB17" s="576"/>
      <c r="AC17" s="597"/>
      <c r="AD17" s="574">
        <f>AD8*$AD$10/0.65</f>
        <v>197653573.07511958</v>
      </c>
      <c r="AE17" s="593">
        <f t="shared" si="6"/>
        <v>9.7448095751275527</v>
      </c>
      <c r="AF17" s="594" t="s">
        <v>612</v>
      </c>
      <c r="AG17" s="602">
        <f>+AD17</f>
        <v>197653573.07511958</v>
      </c>
      <c r="AH17" s="576"/>
      <c r="AK17" s="266">
        <v>6</v>
      </c>
      <c r="AL17" s="221">
        <v>338338996.10927796</v>
      </c>
      <c r="AM17" s="8">
        <f t="shared" si="3"/>
        <v>-24361703.827105999</v>
      </c>
      <c r="AN17" s="156"/>
      <c r="AO17" s="156"/>
      <c r="AP17" s="156"/>
      <c r="AQ17" s="156"/>
      <c r="AR17" s="156"/>
      <c r="AS17" s="156"/>
      <c r="AT17" s="156"/>
    </row>
    <row r="18" spans="1:46" ht="15" thickBot="1" x14ac:dyDescent="0.35">
      <c r="A18" s="266">
        <f t="shared" si="0"/>
        <v>7</v>
      </c>
      <c r="B18" s="316" t="s">
        <v>77</v>
      </c>
      <c r="C18" s="23">
        <f>+C15-C17</f>
        <v>95978706.990135849</v>
      </c>
      <c r="D18" s="266">
        <f t="shared" si="1"/>
        <v>7</v>
      </c>
      <c r="E18" s="1" t="s">
        <v>81</v>
      </c>
      <c r="F18" s="28">
        <f>SUM(F16:F17)</f>
        <v>1</v>
      </c>
      <c r="G18" s="10"/>
      <c r="H18" s="211">
        <f>SUM(H16:H17)</f>
        <v>6.8500000000000005E-2</v>
      </c>
      <c r="I18" s="266">
        <f t="shared" si="2"/>
        <v>7</v>
      </c>
      <c r="J18" s="1" t="str">
        <f>"CONVERSION FACTOR EXCLUDING FEDERAL INCOME TAX ( 1 - LINE "&amp;$I$17&amp;" )"</f>
        <v>CONVERSION FACTOR EXCLUDING FEDERAL INCOME TAX ( 1 - LINE 6 )</v>
      </c>
      <c r="K18" s="1"/>
      <c r="L18" s="1"/>
      <c r="M18" s="3">
        <f>ROUND(1-M16,6)</f>
        <v>0.95111500000000004</v>
      </c>
      <c r="N18" s="1"/>
      <c r="O18" s="1" t="s">
        <v>704</v>
      </c>
      <c r="P18" s="8">
        <v>83674559.605513886</v>
      </c>
      <c r="Q18" s="266">
        <f t="shared" si="4"/>
        <v>7</v>
      </c>
      <c r="R18" s="6" t="s">
        <v>590</v>
      </c>
      <c r="U18" s="35">
        <f>U16*U17</f>
        <v>57431890.556382224</v>
      </c>
      <c r="V18" s="563">
        <v>13</v>
      </c>
      <c r="W18" s="580" t="s">
        <v>636</v>
      </c>
      <c r="X18" s="574">
        <v>69962949.456452519</v>
      </c>
      <c r="Y18" s="593">
        <f t="shared" si="5"/>
        <v>3.3760678466668006</v>
      </c>
      <c r="Z18" s="594" t="s">
        <v>617</v>
      </c>
      <c r="AA18" s="575"/>
      <c r="AB18" s="598">
        <f>+X18</f>
        <v>69962949.456452519</v>
      </c>
      <c r="AC18" s="597"/>
      <c r="AD18" s="574">
        <v>69979069.388921246</v>
      </c>
      <c r="AE18" s="593">
        <f t="shared" si="6"/>
        <v>3.4501410464282478</v>
      </c>
      <c r="AF18" s="594" t="s">
        <v>617</v>
      </c>
      <c r="AG18" s="575"/>
      <c r="AH18" s="598">
        <f>+AD18</f>
        <v>69979069.388921246</v>
      </c>
      <c r="AK18" s="266">
        <v>7</v>
      </c>
      <c r="AL18" s="23">
        <v>75319415.627033353</v>
      </c>
      <c r="AM18" s="8">
        <f t="shared" si="3"/>
        <v>20659291.363102496</v>
      </c>
      <c r="AN18" s="156"/>
      <c r="AO18" s="156"/>
      <c r="AP18" s="156"/>
      <c r="AQ18" s="156"/>
      <c r="AR18" s="156"/>
      <c r="AS18" s="156"/>
      <c r="AT18" s="156"/>
    </row>
    <row r="19" spans="1:46" ht="15" thickTop="1" x14ac:dyDescent="0.3">
      <c r="A19" s="266">
        <f t="shared" si="0"/>
        <v>8</v>
      </c>
      <c r="B19" s="1"/>
      <c r="D19" s="266"/>
      <c r="I19" s="266">
        <f t="shared" si="2"/>
        <v>8</v>
      </c>
      <c r="J19" s="316" t="str">
        <f>"FEDERAL INCOME TAX ( LINE "&amp;I18&amp;"  * "&amp;FIT_E*100&amp;"% )"</f>
        <v>FEDERAL INCOME TAX ( LINE 7  * 21% )</v>
      </c>
      <c r="K19" s="1"/>
      <c r="L19" s="350">
        <f>+FIT_E</f>
        <v>0.21</v>
      </c>
      <c r="M19" s="3">
        <f>ROUND((M18)*FIT_E,6)</f>
        <v>0.19973399999999999</v>
      </c>
      <c r="N19" s="1"/>
      <c r="O19" s="1" t="s">
        <v>703</v>
      </c>
      <c r="P19" s="9">
        <v>-3124000</v>
      </c>
      <c r="Q19" s="156"/>
      <c r="R19" s="156"/>
      <c r="S19" s="156"/>
      <c r="T19" s="156"/>
      <c r="V19" s="563">
        <v>14</v>
      </c>
      <c r="W19" s="580" t="s">
        <v>635</v>
      </c>
      <c r="X19" s="574">
        <v>378349379.60972166</v>
      </c>
      <c r="Y19" s="593">
        <f t="shared" si="5"/>
        <v>18.257280249480782</v>
      </c>
      <c r="Z19" s="594" t="s">
        <v>617</v>
      </c>
      <c r="AA19" s="575"/>
      <c r="AB19" s="598">
        <f>+X19</f>
        <v>378349379.60972166</v>
      </c>
      <c r="AC19" s="597"/>
      <c r="AD19" s="574">
        <v>370094613.96061605</v>
      </c>
      <c r="AE19" s="593">
        <f t="shared" si="6"/>
        <v>18.246579010518932</v>
      </c>
      <c r="AF19" s="594" t="s">
        <v>617</v>
      </c>
      <c r="AG19" s="575"/>
      <c r="AH19" s="598">
        <f>+AD19</f>
        <v>370094613.96061605</v>
      </c>
      <c r="AK19" s="266">
        <v>8</v>
      </c>
      <c r="AM19" s="8">
        <f t="shared" si="3"/>
        <v>0</v>
      </c>
      <c r="AN19" s="156"/>
      <c r="AO19" s="156"/>
      <c r="AP19" s="156"/>
      <c r="AQ19" s="156"/>
      <c r="AR19" s="156"/>
      <c r="AS19" s="156"/>
      <c r="AT19" s="156"/>
    </row>
    <row r="20" spans="1:46" ht="15" thickBot="1" x14ac:dyDescent="0.35">
      <c r="A20" s="266">
        <f t="shared" si="0"/>
        <v>9</v>
      </c>
      <c r="B20" s="1" t="s">
        <v>78</v>
      </c>
      <c r="C20" s="29">
        <f>+M20</f>
        <v>0.75138099999999997</v>
      </c>
      <c r="D20" s="266"/>
      <c r="I20" s="266">
        <f t="shared" si="2"/>
        <v>9</v>
      </c>
      <c r="J20" s="316" t="str">
        <f>"CONVERSION FACTOR INCL FEDERAL INCOME TAX ( LINE "&amp;I18&amp;" - LINE "&amp;I19&amp;" ) "</f>
        <v xml:space="preserve">CONVERSION FACTOR INCL FEDERAL INCOME TAX ( LINE 7 - LINE 8 ) </v>
      </c>
      <c r="K20" s="1"/>
      <c r="L20" s="1"/>
      <c r="M20" s="635">
        <f>ROUND(1-M19-M16,6)</f>
        <v>0.75138099999999997</v>
      </c>
      <c r="N20" s="1"/>
      <c r="O20" s="1" t="s">
        <v>589</v>
      </c>
      <c r="P20" s="9">
        <v>57431890.556382224</v>
      </c>
      <c r="R20" s="6" t="s">
        <v>596</v>
      </c>
      <c r="S20" s="8">
        <v>732100742.29690671</v>
      </c>
      <c r="T20" s="8">
        <v>670031043.74581277</v>
      </c>
      <c r="V20" s="563">
        <v>15</v>
      </c>
      <c r="W20" s="580" t="s">
        <v>634</v>
      </c>
      <c r="X20" s="574">
        <v>7238267.1874165451</v>
      </c>
      <c r="Y20" s="593">
        <f t="shared" si="5"/>
        <v>0.34928317497864692</v>
      </c>
      <c r="Z20" s="594" t="s">
        <v>612</v>
      </c>
      <c r="AA20" s="602">
        <f>+X20</f>
        <v>7238267.1874165451</v>
      </c>
      <c r="AB20" s="576"/>
      <c r="AC20" s="597"/>
      <c r="AD20" s="574">
        <f>+X20</f>
        <v>7238267.1874165451</v>
      </c>
      <c r="AE20" s="593">
        <f t="shared" si="6"/>
        <v>0.35686445885023704</v>
      </c>
      <c r="AF20" s="594" t="s">
        <v>612</v>
      </c>
      <c r="AG20" s="602">
        <f>+AD20</f>
        <v>7238267.1874165451</v>
      </c>
      <c r="AH20" s="576"/>
      <c r="AK20" s="266">
        <v>9</v>
      </c>
      <c r="AL20" s="29">
        <v>0.75138099999999997</v>
      </c>
      <c r="AM20" s="8">
        <f t="shared" si="3"/>
        <v>0</v>
      </c>
      <c r="AN20" s="156"/>
      <c r="AO20" s="156"/>
      <c r="AP20" s="156"/>
      <c r="AQ20" s="156"/>
      <c r="AR20" s="156"/>
      <c r="AS20" s="156"/>
      <c r="AT20" s="156"/>
    </row>
    <row r="21" spans="1:46" ht="15" thickTop="1" x14ac:dyDescent="0.3">
      <c r="A21" s="266">
        <f t="shared" si="0"/>
        <v>10</v>
      </c>
      <c r="B21" s="6" t="s">
        <v>702</v>
      </c>
      <c r="C21" s="346">
        <f>ROUND(+C18/C20,0)</f>
        <v>127736404</v>
      </c>
      <c r="D21" s="266"/>
      <c r="E21" s="9">
        <f>Rllfwd!L24</f>
        <v>117638604.51013979</v>
      </c>
      <c r="F21" s="156" t="s">
        <v>951</v>
      </c>
      <c r="I21" s="266"/>
      <c r="K21" s="1"/>
      <c r="L21" s="1"/>
      <c r="M21" s="1"/>
      <c r="N21" s="1"/>
      <c r="P21" s="10"/>
      <c r="R21" s="6" t="s">
        <v>595</v>
      </c>
      <c r="S21" s="218">
        <v>0.95111500000000004</v>
      </c>
      <c r="T21" s="218">
        <v>0.95238599999999995</v>
      </c>
      <c r="V21" s="563" t="s">
        <v>633</v>
      </c>
      <c r="W21" s="603" t="s">
        <v>632</v>
      </c>
      <c r="X21" s="574">
        <v>8206061.1260157973</v>
      </c>
      <c r="Y21" s="593">
        <f t="shared" si="5"/>
        <v>0.39598415061915598</v>
      </c>
      <c r="Z21" s="594" t="s">
        <v>612</v>
      </c>
      <c r="AA21" s="602">
        <f>+X21</f>
        <v>8206061.1260157973</v>
      </c>
      <c r="AB21" s="576"/>
      <c r="AC21" s="597"/>
      <c r="AD21" s="574">
        <f>+X21</f>
        <v>8206061.1260157973</v>
      </c>
      <c r="AE21" s="593">
        <f t="shared" si="6"/>
        <v>0.40457909154259974</v>
      </c>
      <c r="AF21" s="594" t="s">
        <v>612</v>
      </c>
      <c r="AG21" s="602">
        <f>+AD21</f>
        <v>8206061.1260157973</v>
      </c>
      <c r="AH21" s="576"/>
      <c r="AK21" s="266">
        <v>10</v>
      </c>
      <c r="AL21" s="346">
        <v>100241310</v>
      </c>
      <c r="AM21" s="8">
        <f t="shared" si="3"/>
        <v>27495094</v>
      </c>
      <c r="AN21" s="156"/>
      <c r="AO21" s="156"/>
      <c r="AP21" s="156"/>
      <c r="AQ21" s="156"/>
      <c r="AR21" s="156"/>
      <c r="AS21" s="156"/>
      <c r="AT21" s="156"/>
    </row>
    <row r="22" spans="1:46" ht="15" thickBot="1" x14ac:dyDescent="0.35">
      <c r="A22" s="266">
        <f t="shared" si="0"/>
        <v>11</v>
      </c>
      <c r="B22" s="6" t="s">
        <v>927</v>
      </c>
      <c r="C22" s="10"/>
      <c r="D22" s="266"/>
      <c r="E22" s="9"/>
      <c r="I22" s="266"/>
      <c r="K22" s="1"/>
      <c r="L22" s="1"/>
      <c r="M22" s="3"/>
      <c r="N22" s="1"/>
      <c r="O22" s="6" t="s">
        <v>585</v>
      </c>
      <c r="P22" s="40">
        <v>137982450.16189611</v>
      </c>
      <c r="R22" s="6" t="s">
        <v>594</v>
      </c>
      <c r="S22" s="219">
        <v>769728941.60738361</v>
      </c>
      <c r="T22" s="219">
        <v>703528867.23010707</v>
      </c>
      <c r="V22" s="563" t="s">
        <v>631</v>
      </c>
      <c r="W22" s="603" t="s">
        <v>630</v>
      </c>
      <c r="X22" s="574">
        <v>2763777.09</v>
      </c>
      <c r="Y22" s="593">
        <f t="shared" si="5"/>
        <v>0.13336628946312651</v>
      </c>
      <c r="Z22" s="594" t="s">
        <v>612</v>
      </c>
      <c r="AA22" s="602">
        <f>+X22</f>
        <v>2763777.09</v>
      </c>
      <c r="AB22" s="576"/>
      <c r="AC22" s="597"/>
      <c r="AD22" s="574">
        <f>+X22</f>
        <v>2763777.09</v>
      </c>
      <c r="AE22" s="593">
        <f t="shared" si="6"/>
        <v>0.13626104011747003</v>
      </c>
      <c r="AF22" s="594" t="s">
        <v>612</v>
      </c>
      <c r="AG22" s="602">
        <f>+AD22</f>
        <v>2763777.09</v>
      </c>
      <c r="AH22" s="576"/>
      <c r="AK22" s="266">
        <v>11</v>
      </c>
      <c r="AL22" s="10"/>
      <c r="AM22" s="8">
        <f t="shared" si="3"/>
        <v>0</v>
      </c>
      <c r="AN22" s="156"/>
      <c r="AO22" s="156"/>
      <c r="AP22" s="156"/>
      <c r="AQ22" s="156"/>
      <c r="AR22" s="156"/>
      <c r="AS22" s="156"/>
      <c r="AT22" s="156"/>
    </row>
    <row r="23" spans="1:46" ht="15" thickTop="1" x14ac:dyDescent="0.3">
      <c r="A23" s="266">
        <f t="shared" si="0"/>
        <v>12</v>
      </c>
      <c r="B23" s="220" t="s">
        <v>558</v>
      </c>
      <c r="C23" s="221">
        <v>-3124000</v>
      </c>
      <c r="D23" s="266"/>
      <c r="N23" s="1"/>
      <c r="O23" s="156"/>
      <c r="P23" s="156"/>
      <c r="R23" s="6" t="s">
        <v>593</v>
      </c>
      <c r="S23" s="13">
        <v>20535748.503355935</v>
      </c>
      <c r="T23" s="13">
        <v>20282959</v>
      </c>
      <c r="V23" s="563" t="s">
        <v>629</v>
      </c>
      <c r="W23" s="603" t="s">
        <v>628</v>
      </c>
      <c r="X23" s="574">
        <v>1262663.2680056884</v>
      </c>
      <c r="Y23" s="593">
        <f t="shared" si="5"/>
        <v>6.092991924153475E-2</v>
      </c>
      <c r="Z23" s="594" t="s">
        <v>617</v>
      </c>
      <c r="AA23" s="575"/>
      <c r="AB23" s="598">
        <f>+X23</f>
        <v>1262663.2680056884</v>
      </c>
      <c r="AC23" s="597"/>
      <c r="AD23" s="574">
        <f>+X23/$AB$9*$AH$9</f>
        <v>1262954.1940854082</v>
      </c>
      <c r="AE23" s="593">
        <f t="shared" si="6"/>
        <v>6.2266762659501915E-2</v>
      </c>
      <c r="AF23" s="594" t="s">
        <v>617</v>
      </c>
      <c r="AG23" s="575"/>
      <c r="AH23" s="598">
        <f>+AD23</f>
        <v>1262954.1940854082</v>
      </c>
      <c r="AK23" s="266">
        <v>12</v>
      </c>
      <c r="AL23" s="221">
        <v>-3117000</v>
      </c>
      <c r="AM23" s="8">
        <f t="shared" si="3"/>
        <v>-7000</v>
      </c>
      <c r="AN23" s="156"/>
      <c r="AO23" s="156"/>
      <c r="AP23" s="156"/>
      <c r="AQ23" s="156"/>
      <c r="AR23" s="156"/>
      <c r="AS23" s="156"/>
      <c r="AT23" s="156"/>
    </row>
    <row r="24" spans="1:46" ht="15" thickBot="1" x14ac:dyDescent="0.35">
      <c r="A24" s="266">
        <f t="shared" si="0"/>
        <v>13</v>
      </c>
      <c r="B24" s="220" t="s">
        <v>559</v>
      </c>
      <c r="C24" s="221">
        <v>-25853000</v>
      </c>
      <c r="D24" s="266"/>
      <c r="E24" s="156"/>
      <c r="F24" s="156"/>
      <c r="G24" s="156"/>
      <c r="H24" s="156"/>
      <c r="O24" s="1" t="s">
        <v>704</v>
      </c>
      <c r="P24" s="8">
        <f>+P12-P18</f>
        <v>0</v>
      </c>
      <c r="R24" s="6" t="s">
        <v>592</v>
      </c>
      <c r="S24" s="600">
        <v>37.482390353660357</v>
      </c>
      <c r="T24" s="600">
        <v>34.685711647403473</v>
      </c>
      <c r="U24" s="200">
        <v>2.7966787062568841</v>
      </c>
      <c r="V24" s="563" t="s">
        <v>627</v>
      </c>
      <c r="W24" s="603" t="s">
        <v>626</v>
      </c>
      <c r="X24" s="574">
        <v>2119540.3036357597</v>
      </c>
      <c r="Y24" s="593">
        <f t="shared" si="5"/>
        <v>0.1022785906599471</v>
      </c>
      <c r="Z24" s="594" t="s">
        <v>612</v>
      </c>
      <c r="AA24" s="602">
        <f>+X24</f>
        <v>2119540.3036357597</v>
      </c>
      <c r="AB24" s="576"/>
      <c r="AC24" s="597"/>
      <c r="AD24" s="574">
        <f>+X24</f>
        <v>2119540.3036357597</v>
      </c>
      <c r="AE24" s="593">
        <f t="shared" si="6"/>
        <v>0.10449857457364874</v>
      </c>
      <c r="AF24" s="594" t="s">
        <v>612</v>
      </c>
      <c r="AG24" s="602">
        <f>+AD24</f>
        <v>2119540.3036357597</v>
      </c>
      <c r="AH24" s="576"/>
      <c r="AK24" s="266">
        <v>13</v>
      </c>
      <c r="AL24" s="221">
        <v>-25799000</v>
      </c>
      <c r="AM24" s="8">
        <f t="shared" si="3"/>
        <v>-54000</v>
      </c>
      <c r="AN24" s="156"/>
      <c r="AO24" s="156"/>
      <c r="AP24" s="156"/>
      <c r="AQ24" s="156"/>
      <c r="AR24" s="156"/>
      <c r="AS24" s="156"/>
      <c r="AT24" s="156"/>
    </row>
    <row r="25" spans="1:46" ht="15" thickTop="1" x14ac:dyDescent="0.3">
      <c r="A25" s="266">
        <f t="shared" si="0"/>
        <v>14</v>
      </c>
      <c r="B25" s="220" t="s">
        <v>560</v>
      </c>
      <c r="C25" s="221">
        <v>25853000</v>
      </c>
      <c r="E25" s="156"/>
      <c r="F25" s="156"/>
      <c r="G25" s="156"/>
      <c r="H25" s="156"/>
      <c r="O25" s="1" t="s">
        <v>703</v>
      </c>
      <c r="P25" s="9">
        <f t="shared" ref="P25:P28" si="8">+P13-P19</f>
        <v>0</v>
      </c>
      <c r="R25" s="6" t="s">
        <v>591</v>
      </c>
      <c r="U25" s="9">
        <v>20535748.503355935</v>
      </c>
      <c r="V25" s="563" t="s">
        <v>625</v>
      </c>
      <c r="W25" s="603" t="s">
        <v>624</v>
      </c>
      <c r="X25" s="574">
        <v>313332.07420681993</v>
      </c>
      <c r="Y25" s="593">
        <f t="shared" si="5"/>
        <v>1.5119864861007507E-2</v>
      </c>
      <c r="Z25" s="594" t="s">
        <v>617</v>
      </c>
      <c r="AA25" s="575"/>
      <c r="AB25" s="598">
        <f>+X25</f>
        <v>313332.07420681993</v>
      </c>
      <c r="AC25" s="597"/>
      <c r="AD25" s="574">
        <f>+X25/$AB$9*$AH$9</f>
        <v>313404.2680167685</v>
      </c>
      <c r="AE25" s="593">
        <f t="shared" si="6"/>
        <v>1.5451604867749744E-2</v>
      </c>
      <c r="AF25" s="594" t="s">
        <v>617</v>
      </c>
      <c r="AG25" s="575"/>
      <c r="AH25" s="598">
        <f>+AD25</f>
        <v>313404.2680167685</v>
      </c>
      <c r="AK25" s="266">
        <v>14</v>
      </c>
      <c r="AL25" s="221">
        <v>25799000</v>
      </c>
      <c r="AM25" s="8">
        <f t="shared" si="3"/>
        <v>54000</v>
      </c>
      <c r="AN25" s="156"/>
      <c r="AO25" s="156"/>
      <c r="AP25" s="156"/>
      <c r="AQ25" s="156"/>
      <c r="AR25" s="156"/>
      <c r="AS25" s="156"/>
      <c r="AT25" s="156"/>
    </row>
    <row r="26" spans="1:46" ht="15" thickBot="1" x14ac:dyDescent="0.35">
      <c r="A26" s="266">
        <f t="shared" si="0"/>
        <v>15</v>
      </c>
      <c r="B26" s="6" t="s">
        <v>561</v>
      </c>
      <c r="C26" s="23">
        <f>SUM(C23:C25)</f>
        <v>-3124000</v>
      </c>
      <c r="E26" s="58">
        <f>C26</f>
        <v>-3124000</v>
      </c>
      <c r="F26" s="156" t="s">
        <v>951</v>
      </c>
      <c r="G26" s="156"/>
      <c r="H26" s="156"/>
      <c r="O26" s="1" t="s">
        <v>589</v>
      </c>
      <c r="P26" s="9">
        <f t="shared" si="8"/>
        <v>0</v>
      </c>
      <c r="R26" s="6" t="s">
        <v>590</v>
      </c>
      <c r="U26" s="35">
        <v>57431890.556382224</v>
      </c>
      <c r="V26" s="563">
        <v>16</v>
      </c>
      <c r="W26" s="580" t="s">
        <v>623</v>
      </c>
      <c r="X26" s="574">
        <v>171115373.90212974</v>
      </c>
      <c r="Y26" s="593">
        <f t="shared" si="5"/>
        <v>8.2571863592018406</v>
      </c>
      <c r="Z26" s="594" t="s">
        <v>617</v>
      </c>
      <c r="AA26" s="575"/>
      <c r="AB26" s="598">
        <f>+X26</f>
        <v>171115373.90212974</v>
      </c>
      <c r="AC26" s="597"/>
      <c r="AD26" s="574">
        <v>171056253.11371228</v>
      </c>
      <c r="AE26" s="593">
        <f t="shared" si="6"/>
        <v>8.433495976287892</v>
      </c>
      <c r="AF26" s="594" t="s">
        <v>617</v>
      </c>
      <c r="AG26" s="575"/>
      <c r="AH26" s="598">
        <f>+AD26</f>
        <v>171056253.11371228</v>
      </c>
      <c r="AK26" s="266">
        <v>15</v>
      </c>
      <c r="AL26" s="23">
        <v>-3117000</v>
      </c>
      <c r="AM26" s="8">
        <f t="shared" si="3"/>
        <v>-7000</v>
      </c>
      <c r="AN26" s="156"/>
      <c r="AO26" s="156"/>
      <c r="AP26" s="156"/>
      <c r="AQ26" s="156"/>
      <c r="AR26" s="156"/>
      <c r="AS26" s="156"/>
      <c r="AT26" s="156"/>
    </row>
    <row r="27" spans="1:46" ht="15" thickTop="1" x14ac:dyDescent="0.3">
      <c r="A27" s="266">
        <f t="shared" si="0"/>
        <v>16</v>
      </c>
      <c r="C27" s="10"/>
      <c r="E27" s="156"/>
      <c r="F27" s="156"/>
      <c r="G27" s="156"/>
      <c r="H27" s="156"/>
      <c r="P27" s="10"/>
      <c r="R27" s="156"/>
      <c r="S27" s="156"/>
      <c r="T27" s="156"/>
      <c r="U27" s="156"/>
      <c r="V27" s="563">
        <v>17</v>
      </c>
      <c r="W27" s="580" t="s">
        <v>622</v>
      </c>
      <c r="X27" s="574">
        <v>108374278.4084733</v>
      </c>
      <c r="Y27" s="593">
        <f t="shared" si="5"/>
        <v>5.2296096660175699</v>
      </c>
      <c r="Z27" s="594" t="s">
        <v>617</v>
      </c>
      <c r="AA27" s="575"/>
      <c r="AB27" s="598">
        <f>+X27</f>
        <v>108374278.4084733</v>
      </c>
      <c r="AC27" s="597"/>
      <c r="AD27" s="574">
        <v>108399248.56857753</v>
      </c>
      <c r="AE27" s="593">
        <f t="shared" si="6"/>
        <v>5.3443508202416385</v>
      </c>
      <c r="AF27" s="594" t="s">
        <v>617</v>
      </c>
      <c r="AG27" s="575"/>
      <c r="AH27" s="598">
        <f>+AD27</f>
        <v>108399248.56857753</v>
      </c>
      <c r="AK27" s="266">
        <v>16</v>
      </c>
      <c r="AL27" s="10"/>
      <c r="AM27" s="8">
        <f t="shared" si="3"/>
        <v>0</v>
      </c>
      <c r="AN27" s="156"/>
      <c r="AO27" s="156"/>
      <c r="AP27" s="156"/>
      <c r="AQ27" s="156"/>
      <c r="AR27" s="156"/>
      <c r="AS27" s="156"/>
      <c r="AT27" s="156"/>
    </row>
    <row r="28" spans="1:46" ht="15" thickBot="1" x14ac:dyDescent="0.35">
      <c r="A28" s="266">
        <f t="shared" si="0"/>
        <v>17</v>
      </c>
      <c r="B28" s="6" t="s">
        <v>562</v>
      </c>
      <c r="C28" s="9">
        <f>C21+C26</f>
        <v>124612404</v>
      </c>
      <c r="E28" s="205">
        <f>SUM(E21:E27)</f>
        <v>114514604.51013979</v>
      </c>
      <c r="F28" s="156" t="s">
        <v>951</v>
      </c>
      <c r="G28" s="156"/>
      <c r="H28" s="156"/>
      <c r="K28" s="9"/>
      <c r="O28" s="6" t="s">
        <v>585</v>
      </c>
      <c r="P28" s="40">
        <f t="shared" si="8"/>
        <v>0</v>
      </c>
      <c r="R28" s="6" t="s">
        <v>596</v>
      </c>
      <c r="S28" s="8">
        <f>+S12-S20</f>
        <v>0</v>
      </c>
      <c r="T28" s="8">
        <f>+T12-T20</f>
        <v>0</v>
      </c>
      <c r="V28" s="563">
        <v>18</v>
      </c>
      <c r="W28" s="580" t="s">
        <v>621</v>
      </c>
      <c r="X28" s="574">
        <v>-11639833.365925668</v>
      </c>
      <c r="Y28" s="593">
        <f t="shared" si="5"/>
        <v>-0.56168111082453498</v>
      </c>
      <c r="Z28" s="594" t="s">
        <v>612</v>
      </c>
      <c r="AA28" s="602">
        <f>+X28</f>
        <v>-11639833.365925668</v>
      </c>
      <c r="AB28" s="576"/>
      <c r="AC28" s="597"/>
      <c r="AD28" s="574">
        <f>+X28</f>
        <v>-11639833.365925668</v>
      </c>
      <c r="AE28" s="593">
        <f t="shared" si="6"/>
        <v>-0.57387254817828448</v>
      </c>
      <c r="AF28" s="594" t="s">
        <v>612</v>
      </c>
      <c r="AG28" s="602">
        <f>+AD28</f>
        <v>-11639833.365925668</v>
      </c>
      <c r="AH28" s="576"/>
      <c r="AK28" s="266">
        <v>17</v>
      </c>
      <c r="AL28" s="9">
        <v>97124310</v>
      </c>
      <c r="AM28" s="8">
        <f t="shared" si="3"/>
        <v>27488094</v>
      </c>
      <c r="AN28" s="156"/>
      <c r="AO28" s="156"/>
      <c r="AP28" s="156"/>
      <c r="AQ28" s="156"/>
      <c r="AR28" s="156"/>
      <c r="AS28" s="156"/>
      <c r="AT28" s="156"/>
    </row>
    <row r="29" spans="1:46" ht="15" thickTop="1" x14ac:dyDescent="0.3">
      <c r="A29" s="266">
        <f t="shared" si="0"/>
        <v>18</v>
      </c>
      <c r="C29" s="9"/>
      <c r="E29" s="156"/>
      <c r="F29" s="156"/>
      <c r="G29" s="156"/>
      <c r="H29" s="156"/>
      <c r="O29" s="156"/>
      <c r="P29" s="156"/>
      <c r="R29" s="6" t="s">
        <v>595</v>
      </c>
      <c r="S29" s="218">
        <f t="shared" ref="S29:T29" si="9">+S13-S21</f>
        <v>0</v>
      </c>
      <c r="T29" s="218">
        <f t="shared" si="9"/>
        <v>0</v>
      </c>
      <c r="V29" s="563">
        <v>19</v>
      </c>
      <c r="W29" s="580" t="s">
        <v>620</v>
      </c>
      <c r="X29" s="574">
        <v>138209148.65181684</v>
      </c>
      <c r="Y29" s="593">
        <f t="shared" si="5"/>
        <v>6.6692937691116345</v>
      </c>
      <c r="Z29" s="594" t="s">
        <v>612</v>
      </c>
      <c r="AA29" s="602">
        <f>+X29</f>
        <v>138209148.65181684</v>
      </c>
      <c r="AB29" s="576"/>
      <c r="AC29" s="597"/>
      <c r="AD29" s="574">
        <f>+X29</f>
        <v>138209148.65181684</v>
      </c>
      <c r="AE29" s="593">
        <f t="shared" si="6"/>
        <v>6.814052557707031</v>
      </c>
      <c r="AF29" s="594" t="s">
        <v>612</v>
      </c>
      <c r="AG29" s="602">
        <f>+AD29</f>
        <v>138209148.65181684</v>
      </c>
      <c r="AH29" s="576"/>
      <c r="AK29" s="266">
        <v>18</v>
      </c>
      <c r="AL29" s="9"/>
      <c r="AM29" s="8">
        <f t="shared" si="3"/>
        <v>0</v>
      </c>
      <c r="AN29" s="156"/>
      <c r="AO29" s="156"/>
      <c r="AP29" s="156"/>
      <c r="AQ29" s="156"/>
      <c r="AR29" s="156"/>
      <c r="AS29" s="156"/>
      <c r="AT29" s="156"/>
    </row>
    <row r="30" spans="1:46" ht="14.4" x14ac:dyDescent="0.3">
      <c r="A30" s="266">
        <f t="shared" si="0"/>
        <v>19</v>
      </c>
      <c r="B30" s="6" t="s">
        <v>587</v>
      </c>
      <c r="C30" s="9">
        <f>C32-C28</f>
        <v>13370046.16189611</v>
      </c>
      <c r="E30" s="205">
        <v>23881303.296267986</v>
      </c>
      <c r="F30" s="156" t="s">
        <v>951</v>
      </c>
      <c r="G30" s="156"/>
      <c r="H30" s="156"/>
      <c r="K30" s="9"/>
      <c r="O30" s="156"/>
      <c r="P30" s="156"/>
      <c r="R30" s="6" t="s">
        <v>594</v>
      </c>
      <c r="S30" s="219">
        <f t="shared" ref="S30:T30" si="10">+S14-S22</f>
        <v>0</v>
      </c>
      <c r="T30" s="219">
        <f t="shared" si="10"/>
        <v>0</v>
      </c>
      <c r="V30" s="563">
        <v>20</v>
      </c>
      <c r="W30" s="580" t="s">
        <v>619</v>
      </c>
      <c r="X30" s="574">
        <v>-36228866.83523047</v>
      </c>
      <c r="Y30" s="593">
        <f t="shared" si="5"/>
        <v>-1.7482269314521348</v>
      </c>
      <c r="Z30" s="594" t="s">
        <v>617</v>
      </c>
      <c r="AA30" s="575"/>
      <c r="AB30" s="598">
        <f>+X30</f>
        <v>-36228866.83523047</v>
      </c>
      <c r="AC30" s="597"/>
      <c r="AD30" s="574">
        <v>-39617468.444088995</v>
      </c>
      <c r="AE30" s="593">
        <f t="shared" si="6"/>
        <v>-1.9532390931761483</v>
      </c>
      <c r="AF30" s="594" t="s">
        <v>617</v>
      </c>
      <c r="AG30" s="575"/>
      <c r="AH30" s="598">
        <f>+AD30</f>
        <v>-39617468.444088995</v>
      </c>
      <c r="AK30" s="266">
        <v>19</v>
      </c>
      <c r="AL30" s="9">
        <v>48763026.56800434</v>
      </c>
      <c r="AM30" s="8">
        <f t="shared" si="3"/>
        <v>-35392980.40610823</v>
      </c>
      <c r="AN30" s="156"/>
      <c r="AO30" s="156"/>
      <c r="AP30" s="156"/>
      <c r="AQ30" s="156"/>
      <c r="AR30" s="156"/>
      <c r="AS30" s="156"/>
      <c r="AT30" s="156"/>
    </row>
    <row r="31" spans="1:46" ht="14.4" x14ac:dyDescent="0.3">
      <c r="A31" s="266">
        <f t="shared" si="0"/>
        <v>20</v>
      </c>
      <c r="C31" s="39"/>
      <c r="E31" s="156"/>
      <c r="F31" s="156"/>
      <c r="G31" s="156"/>
      <c r="H31" s="156"/>
      <c r="O31" s="156"/>
      <c r="P31" s="156"/>
      <c r="R31" s="6" t="s">
        <v>593</v>
      </c>
      <c r="S31" s="13">
        <f t="shared" ref="S31:T31" si="11">+S15-S23</f>
        <v>0</v>
      </c>
      <c r="T31" s="13">
        <f t="shared" si="11"/>
        <v>0</v>
      </c>
      <c r="V31" s="605">
        <v>21</v>
      </c>
      <c r="W31" s="606" t="s">
        <v>618</v>
      </c>
      <c r="X31" s="574">
        <v>-16223873.273980575</v>
      </c>
      <c r="Y31" s="593">
        <f t="shared" si="5"/>
        <v>-0.78288433140994562</v>
      </c>
      <c r="Z31" s="594" t="s">
        <v>617</v>
      </c>
      <c r="AA31" s="575"/>
      <c r="AB31" s="598">
        <f>+X31</f>
        <v>-16223873.273980575</v>
      </c>
      <c r="AC31" s="597"/>
      <c r="AD31" s="574">
        <v>-16227611.363120463</v>
      </c>
      <c r="AE31" s="593">
        <f t="shared" si="6"/>
        <v>-0.80006134031629517</v>
      </c>
      <c r="AF31" s="594" t="s">
        <v>617</v>
      </c>
      <c r="AG31" s="575"/>
      <c r="AH31" s="598">
        <f>+AD31</f>
        <v>-16227611.363120463</v>
      </c>
      <c r="AK31" s="266">
        <v>20</v>
      </c>
      <c r="AL31" s="39"/>
      <c r="AM31" s="8">
        <f t="shared" si="3"/>
        <v>0</v>
      </c>
      <c r="AN31" s="156"/>
      <c r="AO31" s="156"/>
      <c r="AP31" s="156"/>
      <c r="AQ31" s="156"/>
      <c r="AR31" s="156"/>
      <c r="AS31" s="156"/>
      <c r="AT31" s="156"/>
    </row>
    <row r="32" spans="1:46" ht="15" thickBot="1" x14ac:dyDescent="0.35">
      <c r="A32" s="266">
        <f t="shared" si="0"/>
        <v>21</v>
      </c>
      <c r="B32" s="6" t="s">
        <v>705</v>
      </c>
      <c r="C32" s="9">
        <f>P16</f>
        <v>137982450.16189611</v>
      </c>
      <c r="E32" s="156"/>
      <c r="F32" s="156"/>
      <c r="G32" s="156"/>
      <c r="H32" s="156"/>
      <c r="O32" s="156"/>
      <c r="P32" s="156"/>
      <c r="R32" s="6" t="s">
        <v>592</v>
      </c>
      <c r="S32" s="600">
        <f t="shared" ref="S32:U32" si="12">+S16-S24</f>
        <v>0</v>
      </c>
      <c r="T32" s="600">
        <f t="shared" si="12"/>
        <v>0</v>
      </c>
      <c r="U32" s="200">
        <f t="shared" si="12"/>
        <v>0</v>
      </c>
      <c r="V32" s="563">
        <v>22</v>
      </c>
      <c r="W32" s="580" t="s">
        <v>616</v>
      </c>
      <c r="X32" s="574">
        <v>662134.87</v>
      </c>
      <c r="Y32" s="593">
        <f t="shared" si="5"/>
        <v>3.1951372292491807E-2</v>
      </c>
      <c r="Z32" s="594" t="s">
        <v>612</v>
      </c>
      <c r="AA32" s="602">
        <f>+X32</f>
        <v>662134.87</v>
      </c>
      <c r="AB32" s="576"/>
      <c r="AC32" s="597"/>
      <c r="AD32" s="574">
        <f>+X32</f>
        <v>662134.87</v>
      </c>
      <c r="AE32" s="593">
        <f t="shared" si="6"/>
        <v>3.264488529508934E-2</v>
      </c>
      <c r="AF32" s="594" t="s">
        <v>612</v>
      </c>
      <c r="AG32" s="602">
        <f>+AD32</f>
        <v>662134.87</v>
      </c>
      <c r="AH32" s="576"/>
      <c r="AK32" s="266">
        <v>21</v>
      </c>
      <c r="AL32" s="9">
        <v>145887336.56800434</v>
      </c>
      <c r="AM32" s="8">
        <f t="shared" si="3"/>
        <v>-7904886.4061082304</v>
      </c>
      <c r="AN32" s="156"/>
      <c r="AO32" s="156"/>
      <c r="AP32" s="156"/>
      <c r="AQ32" s="156"/>
      <c r="AR32" s="156"/>
      <c r="AS32" s="156"/>
      <c r="AT32" s="156"/>
    </row>
    <row r="33" spans="1:46" ht="15" thickTop="1" x14ac:dyDescent="0.3">
      <c r="A33" s="266">
        <f t="shared" si="0"/>
        <v>22</v>
      </c>
      <c r="C33" s="9"/>
      <c r="E33" s="156"/>
      <c r="F33" s="156"/>
      <c r="G33" s="156"/>
      <c r="H33" s="156"/>
      <c r="R33" s="6" t="s">
        <v>591</v>
      </c>
      <c r="U33" s="9">
        <f t="shared" ref="U33:U34" si="13">+U17-U25</f>
        <v>0</v>
      </c>
      <c r="V33" s="563">
        <v>23</v>
      </c>
      <c r="W33" s="607" t="s">
        <v>615</v>
      </c>
      <c r="X33" s="574">
        <v>161583689.16694248</v>
      </c>
      <c r="Y33" s="593">
        <f t="shared" si="5"/>
        <v>7.7972341329301305</v>
      </c>
      <c r="Z33" s="594" t="s">
        <v>612</v>
      </c>
      <c r="AA33" s="602">
        <f>+X33</f>
        <v>161583689.16694248</v>
      </c>
      <c r="AB33" s="576"/>
      <c r="AC33" s="597"/>
      <c r="AD33" s="574">
        <f>+X33</f>
        <v>161583689.16694248</v>
      </c>
      <c r="AE33" s="593">
        <f t="shared" si="6"/>
        <v>7.9664751660220032</v>
      </c>
      <c r="AF33" s="594" t="s">
        <v>612</v>
      </c>
      <c r="AG33" s="602">
        <f>+AD33</f>
        <v>161583689.16694248</v>
      </c>
      <c r="AH33" s="576"/>
      <c r="AK33" s="266">
        <v>22</v>
      </c>
      <c r="AL33" s="9"/>
      <c r="AM33" s="8">
        <f t="shared" si="3"/>
        <v>0</v>
      </c>
      <c r="AN33" s="156"/>
      <c r="AO33" s="156"/>
      <c r="AP33" s="156"/>
      <c r="AQ33" s="156"/>
      <c r="AR33" s="156"/>
      <c r="AS33" s="156"/>
      <c r="AT33" s="156"/>
    </row>
    <row r="34" spans="1:46" ht="15" thickBot="1" x14ac:dyDescent="0.35">
      <c r="A34" s="266">
        <f t="shared" si="0"/>
        <v>23</v>
      </c>
      <c r="B34" s="6" t="s">
        <v>586</v>
      </c>
      <c r="C34" s="9">
        <v>0</v>
      </c>
      <c r="E34" s="9">
        <v>0</v>
      </c>
      <c r="F34" s="156" t="s">
        <v>951</v>
      </c>
      <c r="G34" s="9">
        <f>E30-E34</f>
        <v>23881303.296267986</v>
      </c>
      <c r="R34" s="6" t="s">
        <v>590</v>
      </c>
      <c r="U34" s="35">
        <f t="shared" si="13"/>
        <v>0</v>
      </c>
      <c r="V34" s="563">
        <v>24</v>
      </c>
      <c r="W34" s="564" t="s">
        <v>614</v>
      </c>
      <c r="X34" s="574">
        <v>3490805.0455442886</v>
      </c>
      <c r="Y34" s="593">
        <f t="shared" si="5"/>
        <v>0.16844908290465715</v>
      </c>
      <c r="Z34" s="594" t="s">
        <v>612</v>
      </c>
      <c r="AA34" s="602">
        <f>+X34</f>
        <v>3490805.0455442886</v>
      </c>
      <c r="AB34" s="576"/>
      <c r="AC34" s="597"/>
      <c r="AD34" s="574">
        <f>+X34</f>
        <v>3490805.0455442886</v>
      </c>
      <c r="AE34" s="593">
        <f t="shared" si="6"/>
        <v>0.17210531488745251</v>
      </c>
      <c r="AF34" s="594" t="s">
        <v>612</v>
      </c>
      <c r="AG34" s="602">
        <f>+AD34</f>
        <v>3490805.0455442886</v>
      </c>
      <c r="AH34" s="576"/>
      <c r="AK34" s="266">
        <v>23</v>
      </c>
      <c r="AL34" s="9">
        <v>-6005577.6785726249</v>
      </c>
      <c r="AM34" s="8">
        <f t="shared" si="3"/>
        <v>6005577.6785726249</v>
      </c>
      <c r="AN34" s="156"/>
      <c r="AO34" s="156"/>
      <c r="AP34" s="156"/>
      <c r="AQ34" s="156"/>
      <c r="AR34" s="156"/>
      <c r="AS34" s="156"/>
      <c r="AT34" s="156"/>
    </row>
    <row r="35" spans="1:46" ht="15" thickTop="1" x14ac:dyDescent="0.3">
      <c r="A35" s="266">
        <f t="shared" si="0"/>
        <v>24</v>
      </c>
      <c r="C35" s="39"/>
      <c r="J35" s="221"/>
      <c r="R35" s="156"/>
      <c r="S35" s="156"/>
      <c r="T35" s="156"/>
      <c r="U35" s="156"/>
      <c r="V35" s="563">
        <f t="shared" ref="V35:V48" si="14">+V34+1</f>
        <v>25</v>
      </c>
      <c r="W35" s="564" t="s">
        <v>613</v>
      </c>
      <c r="X35" s="574">
        <v>19415532.153878614</v>
      </c>
      <c r="Y35" s="593">
        <f t="shared" si="5"/>
        <v>0.93689809163112181</v>
      </c>
      <c r="Z35" s="594" t="s">
        <v>612</v>
      </c>
      <c r="AA35" s="602">
        <f>+X35</f>
        <v>19415532.153878614</v>
      </c>
      <c r="AB35" s="576"/>
      <c r="AC35" s="597"/>
      <c r="AD35" s="574">
        <f>+X35</f>
        <v>19415532.153878614</v>
      </c>
      <c r="AE35" s="593">
        <f t="shared" si="6"/>
        <v>0.95723371298431426</v>
      </c>
      <c r="AF35" s="594" t="s">
        <v>612</v>
      </c>
      <c r="AG35" s="602">
        <f>+AD35</f>
        <v>19415532.153878614</v>
      </c>
      <c r="AH35" s="576"/>
      <c r="AK35" s="266">
        <v>24</v>
      </c>
      <c r="AL35" s="39"/>
      <c r="AM35" s="8">
        <f t="shared" si="3"/>
        <v>0</v>
      </c>
      <c r="AN35" s="156"/>
      <c r="AO35" s="156"/>
      <c r="AP35" s="156"/>
      <c r="AQ35" s="156"/>
      <c r="AR35" s="156"/>
      <c r="AS35" s="156"/>
      <c r="AT35" s="156"/>
    </row>
    <row r="36" spans="1:46" ht="15" thickBot="1" x14ac:dyDescent="0.35">
      <c r="A36" s="266">
        <f t="shared" si="0"/>
        <v>25</v>
      </c>
      <c r="B36" s="6" t="s">
        <v>928</v>
      </c>
      <c r="C36" s="40">
        <v>137982450.16189611</v>
      </c>
      <c r="E36" s="9">
        <f>SUM(E28:E35)</f>
        <v>138395907.80640778</v>
      </c>
      <c r="F36" s="156" t="s">
        <v>951</v>
      </c>
      <c r="J36" s="221"/>
      <c r="R36" s="156"/>
      <c r="S36" s="156"/>
      <c r="T36" s="156"/>
      <c r="U36" s="156"/>
      <c r="V36" s="563">
        <f t="shared" si="14"/>
        <v>26</v>
      </c>
      <c r="W36" s="628" t="s">
        <v>611</v>
      </c>
      <c r="X36" s="608"/>
      <c r="Y36" s="609"/>
      <c r="Z36" s="594"/>
      <c r="AA36" s="609"/>
      <c r="AB36" s="610"/>
      <c r="AC36" s="597"/>
      <c r="AD36" s="608"/>
      <c r="AE36" s="609"/>
      <c r="AF36" s="594"/>
      <c r="AG36" s="609"/>
      <c r="AH36" s="610"/>
      <c r="AK36" s="266">
        <v>25</v>
      </c>
      <c r="AL36" s="40">
        <v>139881758.88943172</v>
      </c>
      <c r="AM36" s="8">
        <f t="shared" si="3"/>
        <v>-1899308.7275356054</v>
      </c>
      <c r="AN36" s="156"/>
      <c r="AO36" s="156"/>
      <c r="AP36" s="156"/>
      <c r="AQ36" s="156"/>
      <c r="AR36" s="156"/>
      <c r="AS36" s="156"/>
      <c r="AT36" s="156"/>
    </row>
    <row r="37" spans="1:46" ht="15" thickTop="1" x14ac:dyDescent="0.3">
      <c r="A37" s="266">
        <f t="shared" si="0"/>
        <v>26</v>
      </c>
      <c r="C37" s="9"/>
      <c r="J37" s="221"/>
      <c r="V37" s="563">
        <f t="shared" si="14"/>
        <v>27</v>
      </c>
      <c r="W37" s="611" t="s">
        <v>610</v>
      </c>
      <c r="X37" s="612">
        <f>SUM(X14:X36)</f>
        <v>1240098266.7801845</v>
      </c>
      <c r="Y37" s="613">
        <f>SUM(Y14:Y36)</f>
        <v>59.841043262330352</v>
      </c>
      <c r="Z37" s="613"/>
      <c r="AA37" s="614">
        <f>SUM(AA14:AA36)</f>
        <v>558403549.03173339</v>
      </c>
      <c r="AB37" s="615">
        <f>SUM(AB14:AB36)</f>
        <v>681694717.74845052</v>
      </c>
      <c r="AC37" s="226"/>
      <c r="AD37" s="612">
        <f>SUM(AD14:AD36)</f>
        <v>1228434592.7775466</v>
      </c>
      <c r="AE37" s="613">
        <f>SUM(AE14:AE36)</f>
        <v>60.564861013501336</v>
      </c>
      <c r="AF37" s="613"/>
      <c r="AG37" s="614">
        <f>SUM(AG14:AG36)</f>
        <v>558403549.03173339</v>
      </c>
      <c r="AH37" s="615">
        <f>SUM(AH14:AH36)</f>
        <v>670031043.74581277</v>
      </c>
      <c r="AK37" s="266">
        <v>26</v>
      </c>
      <c r="AL37" s="9"/>
      <c r="AM37" s="8">
        <f t="shared" si="3"/>
        <v>0</v>
      </c>
      <c r="AN37" s="156"/>
      <c r="AO37" s="156"/>
      <c r="AP37" s="156"/>
      <c r="AQ37" s="156"/>
      <c r="AR37" s="156"/>
      <c r="AS37" s="156"/>
      <c r="AT37" s="156"/>
    </row>
    <row r="38" spans="1:46" ht="14.4" x14ac:dyDescent="0.3">
      <c r="A38" s="266">
        <f t="shared" si="0"/>
        <v>27</v>
      </c>
      <c r="C38" s="9"/>
      <c r="V38" s="563">
        <f t="shared" si="14"/>
        <v>28</v>
      </c>
      <c r="W38" s="580" t="s">
        <v>595</v>
      </c>
      <c r="X38" s="616">
        <v>0.95238599999999995</v>
      </c>
      <c r="Y38" s="617">
        <f>+X38</f>
        <v>0.95238599999999995</v>
      </c>
      <c r="Z38" s="617"/>
      <c r="AA38" s="618">
        <f>+Y38</f>
        <v>0.95238599999999995</v>
      </c>
      <c r="AB38" s="619">
        <f>+AA38</f>
        <v>0.95238599999999995</v>
      </c>
      <c r="AC38" s="226"/>
      <c r="AD38" s="616">
        <f>+X38</f>
        <v>0.95238599999999995</v>
      </c>
      <c r="AE38" s="617">
        <f>+AD38</f>
        <v>0.95238599999999995</v>
      </c>
      <c r="AF38" s="617"/>
      <c r="AG38" s="618">
        <f>+AE38</f>
        <v>0.95238599999999995</v>
      </c>
      <c r="AH38" s="619">
        <f>+AG38</f>
        <v>0.95238599999999995</v>
      </c>
      <c r="AK38" s="266">
        <v>27</v>
      </c>
      <c r="AL38" s="9"/>
      <c r="AM38" s="8">
        <f t="shared" si="3"/>
        <v>0</v>
      </c>
      <c r="AN38" s="156"/>
      <c r="AO38" s="156"/>
      <c r="AP38" s="156"/>
      <c r="AQ38" s="156"/>
      <c r="AR38" s="156"/>
      <c r="AS38" s="156"/>
      <c r="AT38" s="156"/>
    </row>
    <row r="39" spans="1:46" ht="14.4" x14ac:dyDescent="0.3">
      <c r="A39" s="266">
        <f t="shared" si="0"/>
        <v>28</v>
      </c>
      <c r="C39" s="9"/>
      <c r="V39" s="563">
        <f t="shared" si="14"/>
        <v>29</v>
      </c>
      <c r="W39" s="580" t="s">
        <v>609</v>
      </c>
      <c r="X39" s="612">
        <f>+X37/X38</f>
        <v>1302096279.0089149</v>
      </c>
      <c r="Y39" s="613">
        <f>+Y37/X38</f>
        <v>62.832762411806087</v>
      </c>
      <c r="Z39" s="613"/>
      <c r="AA39" s="614">
        <f>+AA37/AA38</f>
        <v>586320618.98403943</v>
      </c>
      <c r="AB39" s="615">
        <f>+AB37/AB38</f>
        <v>715775660.02487493</v>
      </c>
      <c r="AC39" s="226"/>
      <c r="AD39" s="612">
        <f>+AD37/AD38</f>
        <v>1289849486.2141471</v>
      </c>
      <c r="AE39" s="613">
        <f>+AE37/AE38</f>
        <v>63.59276702251119</v>
      </c>
      <c r="AF39" s="613"/>
      <c r="AG39" s="614">
        <f>+AG37/AG38</f>
        <v>586320618.98403943</v>
      </c>
      <c r="AH39" s="615">
        <f>+AH37/AH38</f>
        <v>703528867.23010707</v>
      </c>
      <c r="AK39" s="266">
        <v>28</v>
      </c>
      <c r="AL39" s="9"/>
      <c r="AM39" s="8">
        <f t="shared" si="3"/>
        <v>0</v>
      </c>
      <c r="AN39" s="156"/>
      <c r="AO39" s="156"/>
      <c r="AP39" s="156"/>
      <c r="AQ39" s="156"/>
      <c r="AR39" s="156"/>
      <c r="AS39" s="156"/>
      <c r="AT39" s="156"/>
    </row>
    <row r="40" spans="1:46" ht="14.4" x14ac:dyDescent="0.3">
      <c r="A40" s="266">
        <f t="shared" si="0"/>
        <v>29</v>
      </c>
      <c r="B40" s="222" t="s">
        <v>563</v>
      </c>
      <c r="C40" s="8">
        <v>362217.29920936446</v>
      </c>
      <c r="V40" s="563">
        <f t="shared" si="14"/>
        <v>30</v>
      </c>
      <c r="W40" s="580" t="s">
        <v>608</v>
      </c>
      <c r="X40" s="601">
        <v>20723206</v>
      </c>
      <c r="Y40" s="620" t="s">
        <v>607</v>
      </c>
      <c r="Z40" s="620"/>
      <c r="AA40" s="575"/>
      <c r="AB40" s="576"/>
      <c r="AC40" s="226"/>
      <c r="AD40" s="601">
        <v>20282959</v>
      </c>
      <c r="AE40" s="620" t="s">
        <v>607</v>
      </c>
      <c r="AF40" s="620"/>
      <c r="AG40" s="575"/>
      <c r="AH40" s="576"/>
      <c r="AK40" s="266">
        <v>29</v>
      </c>
      <c r="AL40" s="8">
        <v>354912.10943168448</v>
      </c>
      <c r="AM40" s="8">
        <f t="shared" si="3"/>
        <v>7305.1897776799742</v>
      </c>
      <c r="AN40" s="156"/>
      <c r="AO40" s="156"/>
      <c r="AP40" s="156"/>
      <c r="AQ40" s="156"/>
      <c r="AR40" s="156"/>
      <c r="AS40" s="156"/>
      <c r="AT40" s="156"/>
    </row>
    <row r="41" spans="1:46" ht="14.4" x14ac:dyDescent="0.3">
      <c r="C41" s="8"/>
      <c r="V41" s="563">
        <f t="shared" si="14"/>
        <v>31</v>
      </c>
      <c r="W41" s="570"/>
      <c r="X41" s="571"/>
      <c r="Y41" s="621" t="s">
        <v>403</v>
      </c>
      <c r="Z41" s="621"/>
      <c r="AA41" s="621" t="s">
        <v>606</v>
      </c>
      <c r="AB41" s="622" t="s">
        <v>605</v>
      </c>
      <c r="AC41" s="226"/>
      <c r="AD41" s="571"/>
      <c r="AE41" s="621" t="s">
        <v>403</v>
      </c>
      <c r="AF41" s="621"/>
      <c r="AG41" s="621" t="s">
        <v>606</v>
      </c>
      <c r="AH41" s="622" t="s">
        <v>605</v>
      </c>
      <c r="AK41" s="156"/>
      <c r="AL41" s="156"/>
      <c r="AM41" s="156"/>
      <c r="AN41" s="156"/>
      <c r="AO41" s="156"/>
      <c r="AP41" s="156"/>
      <c r="AQ41" s="156"/>
      <c r="AR41" s="156"/>
      <c r="AS41" s="156"/>
      <c r="AT41" s="156"/>
    </row>
    <row r="42" spans="1:46" ht="14.4" x14ac:dyDescent="0.3">
      <c r="A42" s="266"/>
      <c r="B42" s="1"/>
      <c r="C42" s="8"/>
      <c r="V42" s="563"/>
      <c r="W42" s="570"/>
      <c r="X42" s="571"/>
      <c r="Y42" s="621"/>
      <c r="Z42" s="621"/>
      <c r="AA42" s="621"/>
      <c r="AB42" s="622"/>
      <c r="AC42" s="226"/>
      <c r="AD42" s="571"/>
      <c r="AE42" s="621"/>
      <c r="AF42" s="621"/>
      <c r="AG42" s="621"/>
      <c r="AH42" s="622"/>
      <c r="AK42" s="156"/>
      <c r="AL42" s="156"/>
      <c r="AM42" s="156"/>
      <c r="AN42" s="156"/>
      <c r="AO42" s="156"/>
      <c r="AP42" s="156"/>
      <c r="AQ42" s="156"/>
      <c r="AR42" s="156"/>
      <c r="AS42" s="156"/>
      <c r="AT42" s="156"/>
    </row>
    <row r="43" spans="1:46" ht="14.4" x14ac:dyDescent="0.3">
      <c r="A43" s="266"/>
      <c r="B43" s="316"/>
      <c r="D43" s="156"/>
      <c r="E43" s="156"/>
      <c r="F43" s="156"/>
      <c r="G43" s="156"/>
      <c r="H43" s="156"/>
      <c r="I43" s="156"/>
      <c r="J43" s="156"/>
      <c r="V43" s="563"/>
      <c r="W43" s="570"/>
      <c r="X43" s="571"/>
      <c r="Y43" s="621"/>
      <c r="Z43" s="621"/>
      <c r="AA43" s="621"/>
      <c r="AB43" s="622"/>
      <c r="AC43" s="226"/>
      <c r="AD43" s="571"/>
      <c r="AE43" s="621"/>
      <c r="AF43" s="621"/>
      <c r="AG43" s="621"/>
      <c r="AH43" s="622"/>
      <c r="AK43" s="156"/>
      <c r="AL43" s="156"/>
      <c r="AM43" s="156"/>
      <c r="AN43" s="156"/>
      <c r="AO43" s="156"/>
      <c r="AP43" s="156"/>
      <c r="AQ43" s="156"/>
      <c r="AR43" s="156"/>
      <c r="AS43" s="156"/>
      <c r="AT43" s="156"/>
    </row>
    <row r="44" spans="1:46" ht="14.4" x14ac:dyDescent="0.3">
      <c r="A44" s="266"/>
      <c r="B44" s="316"/>
      <c r="D44" s="156"/>
      <c r="E44" s="156"/>
      <c r="F44" s="156"/>
      <c r="G44" s="156"/>
      <c r="H44" s="156"/>
      <c r="I44" s="156"/>
      <c r="J44" s="156"/>
      <c r="V44" s="563">
        <f>+V41+1</f>
        <v>32</v>
      </c>
      <c r="W44" s="580" t="s">
        <v>604</v>
      </c>
      <c r="X44" s="608"/>
      <c r="Y44" s="609"/>
      <c r="Z44" s="609"/>
      <c r="AA44" s="609"/>
      <c r="AB44" s="610"/>
      <c r="AC44" s="226"/>
      <c r="AD44" s="608"/>
      <c r="AE44" s="609"/>
      <c r="AF44" s="609"/>
      <c r="AG44" s="609"/>
      <c r="AH44" s="610"/>
      <c r="AK44" s="156"/>
      <c r="AL44" s="156"/>
      <c r="AM44" s="156"/>
      <c r="AN44" s="156"/>
      <c r="AO44" s="156"/>
      <c r="AP44" s="156"/>
      <c r="AQ44" s="156"/>
      <c r="AR44" s="156"/>
      <c r="AS44" s="156"/>
      <c r="AT44" s="156"/>
    </row>
    <row r="45" spans="1:46" ht="14.4" x14ac:dyDescent="0.3">
      <c r="A45" s="266"/>
      <c r="B45" s="1"/>
      <c r="D45" s="156"/>
      <c r="E45" s="156"/>
      <c r="F45" s="156"/>
      <c r="G45" s="156"/>
      <c r="H45" s="156"/>
      <c r="I45" s="156"/>
      <c r="J45" s="156"/>
      <c r="V45" s="563">
        <f t="shared" si="14"/>
        <v>33</v>
      </c>
      <c r="W45" s="580" t="s">
        <v>603</v>
      </c>
      <c r="X45" s="623"/>
      <c r="Y45" s="593">
        <f>+AA45+AB45</f>
        <v>59.841043262330345</v>
      </c>
      <c r="Z45" s="593"/>
      <c r="AA45" s="593">
        <f>+AA37/$X$40</f>
        <v>26.94580891739113</v>
      </c>
      <c r="AB45" s="624">
        <f>+AB37/$X$40</f>
        <v>32.895234344939219</v>
      </c>
      <c r="AC45" s="226"/>
      <c r="AD45" s="623"/>
      <c r="AE45" s="593">
        <f>+AG45+AH45</f>
        <v>60.564861013501343</v>
      </c>
      <c r="AF45" s="593"/>
      <c r="AG45" s="593">
        <f>+AG37/$AD$40</f>
        <v>27.530674840477339</v>
      </c>
      <c r="AH45" s="624">
        <f>+AH37/$AD$40</f>
        <v>33.034186173024004</v>
      </c>
      <c r="AK45" s="156"/>
      <c r="AL45" s="156"/>
      <c r="AM45" s="156"/>
      <c r="AN45" s="156"/>
      <c r="AO45" s="156"/>
      <c r="AP45" s="156"/>
      <c r="AQ45" s="156"/>
      <c r="AR45" s="156"/>
      <c r="AS45" s="156"/>
      <c r="AT45" s="156"/>
    </row>
    <row r="46" spans="1:46" ht="15" thickBot="1" x14ac:dyDescent="0.35">
      <c r="A46" s="266"/>
      <c r="B46" s="1"/>
      <c r="D46" s="156"/>
      <c r="E46" s="156"/>
      <c r="F46" s="156"/>
      <c r="G46" s="156"/>
      <c r="H46" s="156"/>
      <c r="I46" s="156"/>
      <c r="J46" s="156"/>
      <c r="V46" s="563">
        <f t="shared" si="14"/>
        <v>34</v>
      </c>
      <c r="W46" s="580" t="s">
        <v>602</v>
      </c>
      <c r="X46" s="625"/>
      <c r="Y46" s="626">
        <f>+AA46+AB46</f>
        <v>62.832762411806087</v>
      </c>
      <c r="Z46" s="626"/>
      <c r="AA46" s="626">
        <f>+AA39/$X$40</f>
        <v>28.292949410628811</v>
      </c>
      <c r="AB46" s="627">
        <f>+AB39/$X$40</f>
        <v>34.539813001177272</v>
      </c>
      <c r="AC46" s="226"/>
      <c r="AD46" s="625"/>
      <c r="AE46" s="626">
        <f>+AG46+AH46</f>
        <v>63.59276702251119</v>
      </c>
      <c r="AF46" s="626"/>
      <c r="AG46" s="626">
        <f>+AG39/$AD$40</f>
        <v>28.907055375107717</v>
      </c>
      <c r="AH46" s="627">
        <f>+AH39/$AD$40</f>
        <v>34.685711647403473</v>
      </c>
      <c r="AK46" s="156"/>
      <c r="AL46" s="156"/>
      <c r="AM46" s="156"/>
      <c r="AN46" s="156"/>
      <c r="AO46" s="156"/>
      <c r="AP46" s="156"/>
      <c r="AQ46" s="156"/>
      <c r="AR46" s="156"/>
      <c r="AS46" s="156"/>
      <c r="AT46" s="156"/>
    </row>
    <row r="47" spans="1:46" ht="14.4" x14ac:dyDescent="0.3">
      <c r="A47" s="266"/>
      <c r="B47" s="316"/>
      <c r="D47" s="156"/>
      <c r="E47" s="156"/>
      <c r="F47" s="156"/>
      <c r="G47" s="156"/>
      <c r="H47" s="156"/>
      <c r="I47" s="156"/>
      <c r="J47" s="156"/>
      <c r="V47" s="563">
        <f t="shared" si="14"/>
        <v>35</v>
      </c>
      <c r="W47" s="580"/>
      <c r="X47" s="628"/>
      <c r="Y47" s="628"/>
      <c r="Z47" s="628"/>
      <c r="AA47" s="628"/>
      <c r="AB47" s="628"/>
      <c r="AC47" s="226"/>
      <c r="AD47" s="628"/>
      <c r="AE47" s="628"/>
      <c r="AF47" s="628"/>
      <c r="AG47" s="628"/>
      <c r="AH47" s="628"/>
      <c r="AK47" s="156"/>
      <c r="AL47" s="156"/>
      <c r="AM47" s="156"/>
      <c r="AN47" s="156"/>
      <c r="AO47" s="156"/>
      <c r="AP47" s="156"/>
      <c r="AQ47" s="156"/>
      <c r="AR47" s="156"/>
      <c r="AS47" s="156"/>
      <c r="AT47" s="156"/>
    </row>
    <row r="48" spans="1:46" ht="14.4" x14ac:dyDescent="0.3">
      <c r="A48" s="266"/>
      <c r="B48" s="316"/>
      <c r="D48" s="156"/>
      <c r="E48" s="156"/>
      <c r="F48" s="156"/>
      <c r="G48" s="156"/>
      <c r="H48" s="156"/>
      <c r="I48" s="156"/>
      <c r="J48" s="156"/>
      <c r="V48" s="563">
        <f t="shared" si="14"/>
        <v>36</v>
      </c>
      <c r="W48" s="580" t="s">
        <v>601</v>
      </c>
      <c r="X48" s="628"/>
      <c r="Y48" s="628"/>
      <c r="Z48" s="628"/>
      <c r="AA48" s="628"/>
      <c r="AB48" s="628"/>
      <c r="AC48" s="226"/>
      <c r="AD48" s="554"/>
      <c r="AE48" s="554"/>
      <c r="AF48" s="554"/>
      <c r="AG48" s="554"/>
      <c r="AH48" s="554"/>
      <c r="AK48" s="156"/>
      <c r="AL48" s="156"/>
      <c r="AM48" s="156"/>
      <c r="AN48" s="156"/>
      <c r="AO48" s="156"/>
      <c r="AP48" s="156"/>
      <c r="AQ48" s="156"/>
      <c r="AR48" s="156"/>
      <c r="AS48" s="156"/>
      <c r="AT48" s="156"/>
    </row>
    <row r="49" spans="1:46" ht="14.4" x14ac:dyDescent="0.3">
      <c r="A49" s="266"/>
      <c r="B49" s="1"/>
      <c r="D49" s="156"/>
      <c r="E49" s="156"/>
      <c r="F49" s="156"/>
      <c r="G49" s="156"/>
      <c r="H49" s="156"/>
      <c r="I49" s="156"/>
      <c r="J49" s="156"/>
      <c r="AK49" s="156"/>
      <c r="AL49" s="156"/>
      <c r="AM49" s="156"/>
      <c r="AN49" s="156"/>
      <c r="AO49" s="156"/>
      <c r="AP49" s="156"/>
      <c r="AQ49" s="156"/>
      <c r="AR49" s="156"/>
      <c r="AS49" s="156"/>
      <c r="AT49" s="156"/>
    </row>
    <row r="50" spans="1:46" ht="14.4" x14ac:dyDescent="0.3">
      <c r="A50" s="266"/>
      <c r="B50" s="1"/>
      <c r="D50" s="156"/>
      <c r="E50" s="156"/>
      <c r="F50" s="156"/>
      <c r="G50" s="156"/>
      <c r="H50" s="156"/>
      <c r="I50" s="156"/>
      <c r="J50" s="156"/>
      <c r="AK50" s="156"/>
      <c r="AL50" s="156"/>
      <c r="AM50" s="156"/>
      <c r="AN50" s="156"/>
      <c r="AO50" s="156"/>
      <c r="AP50" s="156"/>
      <c r="AQ50" s="156"/>
      <c r="AR50" s="156"/>
      <c r="AS50" s="156"/>
      <c r="AT50" s="156"/>
    </row>
    <row r="51" spans="1:46" ht="14.4" x14ac:dyDescent="0.3">
      <c r="A51" s="266"/>
      <c r="D51" s="156"/>
      <c r="E51" s="156"/>
      <c r="F51" s="156"/>
      <c r="G51" s="156"/>
      <c r="H51" s="156"/>
      <c r="I51" s="156"/>
      <c r="J51" s="156"/>
      <c r="AK51" s="156"/>
      <c r="AL51" s="156"/>
      <c r="AM51" s="156"/>
      <c r="AN51" s="156"/>
      <c r="AO51" s="156"/>
      <c r="AP51" s="156"/>
      <c r="AQ51" s="156"/>
      <c r="AR51" s="156"/>
      <c r="AS51" s="156"/>
      <c r="AT51" s="156"/>
    </row>
    <row r="52" spans="1:46" ht="14.4" x14ac:dyDescent="0.3">
      <c r="A52" s="266"/>
      <c r="D52" s="156"/>
      <c r="E52" s="156"/>
      <c r="F52" s="156"/>
      <c r="G52" s="156"/>
      <c r="H52" s="156"/>
      <c r="I52" s="156"/>
      <c r="J52" s="156"/>
      <c r="AK52" s="156"/>
      <c r="AL52" s="156"/>
      <c r="AM52" s="156"/>
      <c r="AN52" s="156"/>
      <c r="AO52" s="156"/>
      <c r="AP52" s="156"/>
      <c r="AQ52" s="156"/>
      <c r="AR52" s="156"/>
      <c r="AS52" s="156"/>
      <c r="AT52" s="156"/>
    </row>
    <row r="53" spans="1:46" ht="14.4" x14ac:dyDescent="0.3">
      <c r="A53" s="266"/>
      <c r="B53" s="220"/>
      <c r="D53" s="156"/>
      <c r="E53" s="156"/>
      <c r="F53" s="156"/>
      <c r="G53" s="156"/>
      <c r="H53" s="156"/>
      <c r="I53" s="156"/>
      <c r="J53" s="156"/>
      <c r="AK53" s="156"/>
      <c r="AL53" s="156"/>
      <c r="AM53" s="156"/>
      <c r="AN53" s="156"/>
      <c r="AO53" s="156"/>
      <c r="AP53" s="156"/>
      <c r="AQ53" s="156"/>
      <c r="AR53" s="156"/>
      <c r="AS53" s="156"/>
      <c r="AT53" s="156"/>
    </row>
    <row r="54" spans="1:46" ht="14.4" x14ac:dyDescent="0.3">
      <c r="A54" s="266"/>
      <c r="B54" s="220"/>
      <c r="D54" s="156"/>
      <c r="E54" s="156"/>
      <c r="F54" s="156"/>
      <c r="G54" s="156"/>
      <c r="H54" s="156"/>
      <c r="I54" s="156"/>
      <c r="J54" s="156"/>
      <c r="AK54" s="156"/>
      <c r="AL54" s="156"/>
      <c r="AM54" s="156"/>
      <c r="AN54" s="156"/>
      <c r="AO54" s="156"/>
      <c r="AP54" s="156"/>
      <c r="AQ54" s="156"/>
      <c r="AR54" s="156"/>
      <c r="AS54" s="156"/>
      <c r="AT54" s="156"/>
    </row>
    <row r="55" spans="1:46" ht="14.4" x14ac:dyDescent="0.3">
      <c r="A55" s="266"/>
      <c r="B55" s="220"/>
      <c r="D55" s="156"/>
      <c r="E55" s="156"/>
      <c r="F55" s="156"/>
      <c r="G55" s="156"/>
      <c r="H55" s="156"/>
      <c r="I55" s="156"/>
      <c r="J55" s="156"/>
      <c r="AK55" s="156"/>
      <c r="AL55" s="156"/>
      <c r="AM55" s="156"/>
      <c r="AN55" s="156"/>
      <c r="AO55" s="156"/>
      <c r="AP55" s="156"/>
      <c r="AQ55" s="156"/>
      <c r="AR55" s="156"/>
      <c r="AS55" s="156"/>
      <c r="AT55" s="156"/>
    </row>
    <row r="56" spans="1:46" ht="14.4" x14ac:dyDescent="0.3">
      <c r="A56" s="266"/>
      <c r="D56" s="156"/>
      <c r="E56" s="156"/>
      <c r="F56" s="156"/>
      <c r="G56" s="156"/>
      <c r="H56" s="156"/>
      <c r="I56" s="156"/>
      <c r="J56" s="156"/>
      <c r="AK56" s="156"/>
      <c r="AL56" s="156"/>
      <c r="AM56" s="156"/>
      <c r="AN56" s="156"/>
      <c r="AO56" s="156"/>
      <c r="AP56" s="156"/>
      <c r="AQ56" s="156"/>
      <c r="AR56" s="156"/>
      <c r="AS56" s="156"/>
      <c r="AT56" s="156"/>
    </row>
    <row r="57" spans="1:46" ht="14.4" x14ac:dyDescent="0.3">
      <c r="A57" s="266"/>
      <c r="D57" s="156"/>
      <c r="E57" s="156"/>
      <c r="F57" s="156"/>
      <c r="G57" s="156"/>
      <c r="H57" s="156"/>
      <c r="I57" s="156"/>
      <c r="J57" s="156"/>
      <c r="AK57" s="156"/>
      <c r="AL57" s="156"/>
      <c r="AM57" s="156"/>
      <c r="AN57" s="156"/>
      <c r="AO57" s="156"/>
      <c r="AP57" s="156"/>
      <c r="AQ57" s="156"/>
      <c r="AR57" s="156"/>
      <c r="AS57" s="156"/>
      <c r="AT57" s="156"/>
    </row>
    <row r="58" spans="1:46" ht="14.4" x14ac:dyDescent="0.3">
      <c r="A58" s="266"/>
      <c r="D58" s="156"/>
      <c r="E58" s="156"/>
      <c r="F58" s="156"/>
      <c r="G58" s="156"/>
      <c r="H58" s="156"/>
      <c r="I58" s="156"/>
      <c r="J58" s="156"/>
      <c r="AK58" s="156"/>
      <c r="AL58" s="156"/>
      <c r="AM58" s="156"/>
      <c r="AN58" s="156"/>
      <c r="AO58" s="156"/>
      <c r="AP58" s="156"/>
      <c r="AQ58" s="156"/>
      <c r="AR58" s="156"/>
      <c r="AS58" s="156"/>
      <c r="AT58" s="156"/>
    </row>
    <row r="59" spans="1:46" ht="14.4" x14ac:dyDescent="0.3">
      <c r="A59" s="266"/>
      <c r="D59" s="156"/>
      <c r="E59" s="156"/>
      <c r="F59" s="156"/>
      <c r="G59" s="156"/>
      <c r="H59" s="156"/>
      <c r="I59" s="156"/>
      <c r="J59" s="156"/>
      <c r="AK59" s="156"/>
      <c r="AL59" s="156"/>
      <c r="AM59" s="156"/>
      <c r="AN59" s="156"/>
      <c r="AO59" s="156"/>
      <c r="AP59" s="156"/>
      <c r="AQ59" s="156"/>
      <c r="AR59" s="156"/>
      <c r="AS59" s="156"/>
      <c r="AT59" s="156"/>
    </row>
    <row r="60" spans="1:46" ht="14.4" x14ac:dyDescent="0.3">
      <c r="A60" s="266"/>
      <c r="D60" s="156"/>
      <c r="E60" s="156"/>
      <c r="F60" s="156"/>
      <c r="G60" s="156"/>
      <c r="H60" s="156"/>
      <c r="I60" s="156"/>
      <c r="J60" s="156"/>
      <c r="AK60" s="156"/>
      <c r="AL60" s="156"/>
      <c r="AM60" s="156"/>
      <c r="AN60" s="156"/>
      <c r="AO60" s="156"/>
      <c r="AP60" s="156"/>
      <c r="AQ60" s="156"/>
      <c r="AR60" s="156"/>
      <c r="AS60" s="156"/>
      <c r="AT60" s="156"/>
    </row>
    <row r="61" spans="1:46" ht="14.4" x14ac:dyDescent="0.3">
      <c r="A61" s="266"/>
      <c r="D61" s="156"/>
      <c r="E61" s="156"/>
      <c r="F61" s="156"/>
      <c r="G61" s="156"/>
      <c r="H61" s="156"/>
      <c r="I61" s="156"/>
      <c r="J61" s="156"/>
      <c r="AK61" s="156"/>
      <c r="AL61" s="156"/>
      <c r="AM61" s="156"/>
      <c r="AN61" s="156"/>
      <c r="AO61" s="156"/>
      <c r="AP61" s="156"/>
      <c r="AQ61" s="156"/>
      <c r="AR61" s="156"/>
      <c r="AS61" s="156"/>
      <c r="AT61" s="156"/>
    </row>
    <row r="62" spans="1:46" ht="14.4" x14ac:dyDescent="0.3">
      <c r="A62" s="266"/>
      <c r="D62" s="156"/>
      <c r="E62" s="156"/>
      <c r="F62" s="156"/>
      <c r="G62" s="156"/>
      <c r="H62" s="156"/>
      <c r="I62" s="156"/>
      <c r="J62" s="156"/>
      <c r="AK62" s="156"/>
      <c r="AL62" s="156"/>
      <c r="AM62" s="156"/>
      <c r="AN62" s="156"/>
      <c r="AO62" s="156"/>
      <c r="AP62" s="156"/>
      <c r="AQ62" s="156"/>
      <c r="AR62" s="156"/>
      <c r="AS62" s="156"/>
      <c r="AT62" s="156"/>
    </row>
    <row r="63" spans="1:46" ht="14.4" x14ac:dyDescent="0.3">
      <c r="A63" s="266"/>
      <c r="D63" s="156"/>
      <c r="E63" s="156"/>
      <c r="F63" s="156"/>
      <c r="G63" s="156"/>
      <c r="H63" s="156"/>
      <c r="I63" s="156"/>
      <c r="J63" s="156"/>
      <c r="AK63" s="156"/>
      <c r="AL63" s="156"/>
      <c r="AM63" s="156"/>
      <c r="AN63" s="156"/>
      <c r="AO63" s="156"/>
      <c r="AP63" s="156"/>
      <c r="AQ63" s="156"/>
      <c r="AR63" s="156"/>
      <c r="AS63" s="156"/>
      <c r="AT63" s="156"/>
    </row>
    <row r="64" spans="1:46" ht="14.4" x14ac:dyDescent="0.3">
      <c r="A64" s="266"/>
      <c r="D64" s="156"/>
      <c r="E64" s="156"/>
      <c r="F64" s="156"/>
      <c r="G64" s="156"/>
      <c r="H64" s="156"/>
      <c r="I64" s="156"/>
      <c r="J64" s="156"/>
      <c r="AK64" s="156"/>
      <c r="AL64" s="156"/>
      <c r="AM64" s="156"/>
      <c r="AN64" s="156"/>
      <c r="AO64" s="156"/>
      <c r="AP64" s="156"/>
      <c r="AQ64" s="156"/>
      <c r="AR64" s="156"/>
      <c r="AS64" s="156"/>
      <c r="AT64" s="156"/>
    </row>
    <row r="65" spans="1:46" ht="14.4" x14ac:dyDescent="0.3">
      <c r="A65" s="266"/>
      <c r="D65" s="156"/>
      <c r="E65" s="156"/>
      <c r="F65" s="156"/>
      <c r="G65" s="156"/>
      <c r="H65" s="156"/>
      <c r="I65" s="156"/>
      <c r="J65" s="156"/>
      <c r="AK65" s="156"/>
      <c r="AL65" s="156"/>
      <c r="AM65" s="156"/>
      <c r="AN65" s="156"/>
      <c r="AO65" s="156"/>
      <c r="AP65" s="156"/>
      <c r="AQ65" s="156"/>
      <c r="AR65" s="156"/>
      <c r="AS65" s="156"/>
      <c r="AT65" s="156"/>
    </row>
    <row r="66" spans="1:46" ht="14.4" x14ac:dyDescent="0.3">
      <c r="A66" s="266"/>
      <c r="D66" s="156"/>
      <c r="E66" s="156"/>
      <c r="F66" s="156"/>
      <c r="G66" s="156"/>
      <c r="H66" s="156"/>
      <c r="I66" s="156"/>
      <c r="J66" s="156"/>
      <c r="AK66" s="156"/>
      <c r="AL66" s="156"/>
      <c r="AM66" s="156"/>
      <c r="AN66" s="156"/>
      <c r="AO66" s="156"/>
      <c r="AP66" s="156"/>
      <c r="AQ66" s="156"/>
      <c r="AR66" s="156"/>
      <c r="AS66" s="156"/>
      <c r="AT66" s="156"/>
    </row>
    <row r="67" spans="1:46" ht="14.4" x14ac:dyDescent="0.3">
      <c r="A67" s="266"/>
      <c r="D67" s="156"/>
      <c r="E67" s="156"/>
      <c r="F67" s="156"/>
      <c r="G67" s="156"/>
      <c r="H67" s="156"/>
      <c r="I67" s="156"/>
      <c r="J67" s="156"/>
      <c r="AK67" s="156"/>
      <c r="AL67" s="156"/>
      <c r="AM67" s="156"/>
      <c r="AN67" s="156"/>
      <c r="AO67" s="156"/>
      <c r="AP67" s="156"/>
      <c r="AQ67" s="156"/>
      <c r="AR67" s="156"/>
      <c r="AS67" s="156"/>
      <c r="AT67" s="156"/>
    </row>
    <row r="68" spans="1:46" ht="14.4" x14ac:dyDescent="0.3">
      <c r="A68" s="266"/>
      <c r="D68" s="156"/>
      <c r="E68" s="156"/>
      <c r="F68" s="156"/>
      <c r="G68" s="156"/>
      <c r="H68" s="156"/>
      <c r="I68" s="156"/>
      <c r="J68" s="156"/>
      <c r="AK68" s="156"/>
      <c r="AL68" s="156"/>
      <c r="AM68" s="156"/>
      <c r="AN68" s="156"/>
      <c r="AO68" s="156"/>
      <c r="AP68" s="156"/>
      <c r="AQ68" s="156"/>
      <c r="AR68" s="156"/>
      <c r="AS68" s="156"/>
      <c r="AT68" s="156"/>
    </row>
    <row r="69" spans="1:46" ht="14.4" x14ac:dyDescent="0.3">
      <c r="A69" s="266"/>
      <c r="C69" s="9"/>
      <c r="D69" s="156"/>
      <c r="E69" s="156"/>
      <c r="F69" s="156"/>
      <c r="G69" s="156"/>
      <c r="H69" s="156"/>
      <c r="I69" s="156"/>
      <c r="J69" s="156"/>
      <c r="AK69" s="156"/>
      <c r="AL69" s="156"/>
      <c r="AM69" s="156"/>
      <c r="AN69" s="156"/>
      <c r="AO69" s="156"/>
      <c r="AP69" s="156"/>
      <c r="AQ69" s="156"/>
      <c r="AR69" s="156"/>
      <c r="AS69" s="156"/>
      <c r="AT69" s="156"/>
    </row>
    <row r="70" spans="1:46" ht="14.4" x14ac:dyDescent="0.3">
      <c r="A70" s="266"/>
      <c r="B70" s="222"/>
      <c r="C70" s="8"/>
      <c r="D70" s="156"/>
      <c r="E70" s="156"/>
      <c r="F70" s="156"/>
      <c r="G70" s="156"/>
      <c r="H70" s="156"/>
      <c r="I70" s="156"/>
      <c r="J70" s="156"/>
      <c r="AK70" s="156"/>
      <c r="AL70" s="156"/>
      <c r="AM70" s="156"/>
      <c r="AN70" s="156"/>
      <c r="AO70" s="156"/>
      <c r="AP70" s="156"/>
      <c r="AQ70" s="156"/>
      <c r="AR70" s="156"/>
      <c r="AS70" s="156"/>
      <c r="AT70" s="156"/>
    </row>
    <row r="71" spans="1:46" ht="14.4" x14ac:dyDescent="0.3">
      <c r="A71" s="156"/>
      <c r="B71" s="156"/>
      <c r="C71" s="156"/>
      <c r="D71" s="156"/>
      <c r="E71" s="156"/>
      <c r="F71" s="156"/>
      <c r="G71" s="156"/>
      <c r="H71" s="156"/>
      <c r="I71" s="156"/>
      <c r="J71" s="156"/>
      <c r="AK71" s="156"/>
      <c r="AL71" s="156"/>
      <c r="AM71" s="156"/>
      <c r="AN71" s="156"/>
      <c r="AO71" s="156"/>
      <c r="AP71" s="156"/>
      <c r="AQ71" s="156"/>
      <c r="AR71" s="156"/>
      <c r="AS71" s="156"/>
      <c r="AT71" s="156"/>
    </row>
    <row r="72" spans="1:46" ht="14.4" x14ac:dyDescent="0.3">
      <c r="A72" s="266"/>
      <c r="B72" s="1"/>
      <c r="C72" s="8"/>
      <c r="D72" s="156"/>
      <c r="E72" s="156"/>
      <c r="F72" s="156"/>
      <c r="G72" s="156"/>
      <c r="H72" s="156"/>
      <c r="I72" s="156"/>
      <c r="J72" s="156"/>
      <c r="AK72" s="156"/>
      <c r="AL72" s="156"/>
      <c r="AM72" s="156"/>
      <c r="AN72" s="156"/>
      <c r="AO72" s="156"/>
      <c r="AP72" s="156"/>
      <c r="AQ72" s="156"/>
      <c r="AR72" s="156"/>
      <c r="AS72" s="156"/>
      <c r="AT72" s="156"/>
    </row>
    <row r="73" spans="1:46" ht="14.4" x14ac:dyDescent="0.3">
      <c r="A73" s="266"/>
      <c r="B73" s="316"/>
      <c r="C73" s="4"/>
      <c r="D73" s="156"/>
      <c r="E73" s="156"/>
      <c r="F73" s="156"/>
      <c r="G73" s="156"/>
      <c r="H73" s="156"/>
      <c r="I73" s="156"/>
      <c r="J73" s="156"/>
      <c r="AK73" s="156"/>
      <c r="AL73" s="156"/>
      <c r="AM73" s="156"/>
      <c r="AN73" s="156"/>
      <c r="AO73" s="156"/>
      <c r="AP73" s="156"/>
      <c r="AQ73" s="156"/>
      <c r="AR73" s="156"/>
      <c r="AS73" s="156"/>
      <c r="AT73" s="156"/>
    </row>
    <row r="74" spans="1:46" ht="14.4" x14ac:dyDescent="0.3">
      <c r="A74" s="266"/>
      <c r="B74" s="316"/>
      <c r="C74" s="10"/>
      <c r="D74" s="156"/>
      <c r="E74" s="156"/>
      <c r="F74" s="156"/>
      <c r="G74" s="156"/>
      <c r="H74" s="156"/>
      <c r="I74" s="156"/>
      <c r="J74" s="156"/>
      <c r="AK74" s="156"/>
      <c r="AL74" s="156"/>
      <c r="AM74" s="156"/>
      <c r="AN74" s="156"/>
      <c r="AO74" s="156"/>
      <c r="AP74" s="156"/>
      <c r="AQ74" s="156"/>
      <c r="AR74" s="156"/>
      <c r="AS74" s="156"/>
      <c r="AT74" s="156"/>
    </row>
    <row r="75" spans="1:46" ht="14.4" x14ac:dyDescent="0.3">
      <c r="A75" s="266"/>
      <c r="B75" s="1"/>
      <c r="C75" s="221"/>
      <c r="D75" s="156"/>
      <c r="E75" s="156"/>
      <c r="F75" s="156"/>
      <c r="G75" s="156"/>
      <c r="H75" s="156"/>
      <c r="I75" s="156"/>
      <c r="J75" s="156"/>
      <c r="AK75" s="156"/>
      <c r="AL75" s="156"/>
      <c r="AM75" s="156"/>
      <c r="AN75" s="156"/>
      <c r="AO75" s="156"/>
      <c r="AP75" s="156"/>
      <c r="AQ75" s="156"/>
      <c r="AR75" s="156"/>
      <c r="AS75" s="156"/>
      <c r="AT75" s="156"/>
    </row>
    <row r="76" spans="1:46" ht="14.4" x14ac:dyDescent="0.3">
      <c r="A76" s="266"/>
      <c r="B76" s="1"/>
      <c r="D76" s="156"/>
      <c r="E76" s="156"/>
      <c r="F76" s="156"/>
      <c r="G76" s="156"/>
      <c r="H76" s="156"/>
      <c r="I76" s="156"/>
      <c r="J76" s="156"/>
      <c r="AK76" s="156"/>
      <c r="AL76" s="156"/>
      <c r="AM76" s="156"/>
      <c r="AN76" s="156"/>
      <c r="AO76" s="156"/>
      <c r="AP76" s="156"/>
      <c r="AQ76" s="156"/>
      <c r="AR76" s="156"/>
      <c r="AS76" s="156"/>
      <c r="AT76" s="156"/>
    </row>
    <row r="77" spans="1:46" ht="14.4" x14ac:dyDescent="0.3">
      <c r="A77" s="266"/>
      <c r="B77" s="316"/>
      <c r="C77" s="349"/>
      <c r="D77" s="156"/>
      <c r="E77" s="156"/>
      <c r="F77" s="156"/>
      <c r="G77" s="156"/>
      <c r="H77" s="156"/>
      <c r="I77" s="156"/>
      <c r="J77" s="156"/>
      <c r="AK77" s="156"/>
      <c r="AL77" s="156"/>
      <c r="AM77" s="156"/>
      <c r="AN77" s="156"/>
      <c r="AO77" s="156"/>
      <c r="AP77" s="156"/>
      <c r="AQ77" s="156"/>
      <c r="AR77" s="156"/>
      <c r="AS77" s="156"/>
      <c r="AT77" s="156"/>
    </row>
    <row r="78" spans="1:46" ht="14.4" x14ac:dyDescent="0.3">
      <c r="A78" s="266"/>
      <c r="B78" s="316"/>
      <c r="C78" s="323"/>
      <c r="D78" s="156"/>
      <c r="E78" s="156"/>
      <c r="F78" s="156"/>
      <c r="G78" s="156"/>
      <c r="H78" s="156"/>
      <c r="I78" s="156"/>
      <c r="J78" s="156"/>
      <c r="AK78" s="156"/>
      <c r="AL78" s="156"/>
      <c r="AM78" s="156"/>
      <c r="AN78" s="156"/>
      <c r="AO78" s="156"/>
      <c r="AP78" s="156"/>
      <c r="AQ78" s="156"/>
      <c r="AR78" s="156"/>
      <c r="AS78" s="156"/>
      <c r="AT78" s="156"/>
    </row>
    <row r="79" spans="1:46" ht="14.4" x14ac:dyDescent="0.3">
      <c r="A79" s="266"/>
      <c r="B79" s="1"/>
      <c r="D79" s="156"/>
      <c r="E79" s="156"/>
      <c r="F79" s="156"/>
      <c r="G79" s="156"/>
      <c r="H79" s="156"/>
      <c r="I79" s="156"/>
      <c r="J79" s="156"/>
      <c r="AK79" s="156"/>
      <c r="AL79" s="156"/>
      <c r="AM79" s="156"/>
      <c r="AN79" s="156"/>
      <c r="AO79" s="156"/>
      <c r="AP79" s="156"/>
      <c r="AQ79" s="156"/>
      <c r="AR79" s="156"/>
      <c r="AS79" s="156"/>
      <c r="AT79" s="156"/>
    </row>
    <row r="80" spans="1:46" ht="14.4" x14ac:dyDescent="0.3">
      <c r="A80" s="266"/>
      <c r="B80" s="1"/>
      <c r="C80" s="29"/>
      <c r="D80" s="156"/>
      <c r="E80" s="156"/>
      <c r="F80" s="156"/>
      <c r="G80" s="156"/>
      <c r="H80" s="156"/>
      <c r="I80" s="156"/>
      <c r="J80" s="156"/>
      <c r="AK80" s="156"/>
      <c r="AL80" s="156"/>
      <c r="AM80" s="156"/>
      <c r="AN80" s="156"/>
      <c r="AO80" s="156"/>
      <c r="AP80" s="156"/>
      <c r="AQ80" s="156"/>
      <c r="AR80" s="156"/>
      <c r="AS80" s="156"/>
      <c r="AT80" s="156"/>
    </row>
    <row r="81" spans="1:46" ht="14.4" x14ac:dyDescent="0.3">
      <c r="A81" s="266"/>
      <c r="C81" s="517"/>
      <c r="D81" s="156"/>
      <c r="E81" s="156"/>
      <c r="F81" s="156"/>
      <c r="G81" s="156"/>
      <c r="H81" s="156"/>
      <c r="I81" s="156"/>
      <c r="J81" s="156"/>
      <c r="AK81" s="156"/>
      <c r="AL81" s="156"/>
      <c r="AM81" s="156"/>
      <c r="AN81" s="156"/>
      <c r="AO81" s="156"/>
      <c r="AP81" s="156"/>
      <c r="AQ81" s="156"/>
      <c r="AR81" s="156"/>
      <c r="AS81" s="156"/>
      <c r="AT81" s="156"/>
    </row>
    <row r="82" spans="1:46" ht="14.4" x14ac:dyDescent="0.3">
      <c r="A82" s="266"/>
      <c r="C82" s="10"/>
      <c r="D82" s="156"/>
      <c r="E82" s="156"/>
      <c r="F82" s="156"/>
      <c r="G82" s="156"/>
      <c r="H82" s="156"/>
      <c r="I82" s="156"/>
      <c r="J82" s="156"/>
      <c r="AK82" s="156"/>
      <c r="AL82" s="156"/>
      <c r="AM82" s="156"/>
      <c r="AN82" s="156"/>
      <c r="AO82" s="156"/>
      <c r="AP82" s="156"/>
      <c r="AQ82" s="156"/>
      <c r="AR82" s="156"/>
      <c r="AS82" s="156"/>
      <c r="AT82" s="156"/>
    </row>
    <row r="83" spans="1:46" ht="14.4" x14ac:dyDescent="0.3">
      <c r="A83" s="266"/>
      <c r="B83" s="220"/>
      <c r="C83" s="5"/>
      <c r="D83" s="156"/>
      <c r="E83" s="156"/>
      <c r="F83" s="156"/>
      <c r="G83" s="156"/>
      <c r="H83" s="156"/>
      <c r="I83" s="156"/>
      <c r="J83" s="156"/>
      <c r="AK83" s="156"/>
      <c r="AL83" s="156"/>
      <c r="AM83" s="156"/>
      <c r="AN83" s="156"/>
      <c r="AO83" s="156"/>
      <c r="AP83" s="156"/>
      <c r="AQ83" s="156"/>
      <c r="AR83" s="156"/>
      <c r="AS83" s="156"/>
      <c r="AT83" s="156"/>
    </row>
    <row r="84" spans="1:46" ht="14.4" x14ac:dyDescent="0.3">
      <c r="A84" s="266"/>
      <c r="B84" s="220"/>
      <c r="C84" s="5"/>
      <c r="D84" s="156"/>
      <c r="E84" s="156"/>
      <c r="F84" s="156"/>
      <c r="G84" s="156"/>
      <c r="H84" s="156"/>
      <c r="I84" s="156"/>
      <c r="J84" s="156"/>
      <c r="AK84" s="156"/>
      <c r="AL84" s="156"/>
      <c r="AM84" s="156"/>
      <c r="AN84" s="156"/>
      <c r="AO84" s="156"/>
      <c r="AP84" s="156"/>
      <c r="AQ84" s="156"/>
      <c r="AR84" s="156"/>
      <c r="AS84" s="156"/>
      <c r="AT84" s="156"/>
    </row>
    <row r="85" spans="1:46" ht="14.4" x14ac:dyDescent="0.3">
      <c r="A85" s="266"/>
      <c r="B85" s="220"/>
      <c r="C85" s="5"/>
      <c r="D85" s="156"/>
      <c r="E85" s="156"/>
      <c r="F85" s="156"/>
      <c r="G85" s="156"/>
      <c r="H85" s="156"/>
      <c r="I85" s="156"/>
      <c r="J85" s="156"/>
      <c r="AK85" s="156"/>
      <c r="AL85" s="156"/>
      <c r="AM85" s="156"/>
      <c r="AN85" s="156"/>
      <c r="AO85" s="156"/>
      <c r="AP85" s="156"/>
      <c r="AQ85" s="156"/>
      <c r="AR85" s="156"/>
      <c r="AS85" s="156"/>
      <c r="AT85" s="156"/>
    </row>
    <row r="86" spans="1:46" ht="14.4" x14ac:dyDescent="0.3">
      <c r="A86" s="266"/>
      <c r="C86" s="23"/>
      <c r="D86" s="156"/>
      <c r="E86" s="156"/>
      <c r="F86" s="156"/>
      <c r="G86" s="156"/>
      <c r="H86" s="156"/>
      <c r="I86" s="156"/>
      <c r="J86" s="156"/>
      <c r="AK86" s="156"/>
      <c r="AL86" s="156"/>
      <c r="AM86" s="156"/>
      <c r="AN86" s="156"/>
      <c r="AO86" s="156"/>
      <c r="AP86" s="156"/>
      <c r="AQ86" s="156"/>
      <c r="AR86" s="156"/>
      <c r="AS86" s="156"/>
      <c r="AT86" s="156"/>
    </row>
    <row r="87" spans="1:46" ht="14.4" x14ac:dyDescent="0.3">
      <c r="A87" s="266"/>
      <c r="C87" s="10"/>
      <c r="D87" s="156"/>
      <c r="E87" s="156"/>
      <c r="F87" s="156"/>
      <c r="G87" s="156"/>
      <c r="H87" s="156"/>
      <c r="I87" s="156"/>
      <c r="J87" s="156"/>
      <c r="AK87" s="156"/>
      <c r="AL87" s="156"/>
      <c r="AM87" s="156"/>
      <c r="AN87" s="156"/>
      <c r="AO87" s="156"/>
      <c r="AP87" s="156"/>
      <c r="AQ87" s="156"/>
      <c r="AR87" s="156"/>
      <c r="AS87" s="156"/>
      <c r="AT87" s="156"/>
    </row>
    <row r="88" spans="1:46" ht="14.4" x14ac:dyDescent="0.3">
      <c r="A88" s="266"/>
      <c r="C88" s="466"/>
      <c r="D88" s="156"/>
      <c r="E88" s="156"/>
      <c r="F88" s="156"/>
      <c r="G88" s="156"/>
      <c r="H88" s="156"/>
      <c r="I88" s="156"/>
      <c r="J88" s="156"/>
      <c r="AK88" s="156"/>
      <c r="AL88" s="156"/>
      <c r="AM88" s="156"/>
      <c r="AN88" s="156"/>
      <c r="AO88" s="156"/>
      <c r="AP88" s="156"/>
      <c r="AQ88" s="156"/>
      <c r="AR88" s="156"/>
      <c r="AS88" s="156"/>
      <c r="AT88" s="156"/>
    </row>
    <row r="89" spans="1:46" ht="14.4" x14ac:dyDescent="0.3">
      <c r="A89" s="266"/>
      <c r="C89" s="9"/>
      <c r="D89" s="156"/>
      <c r="E89" s="156"/>
      <c r="F89" s="156"/>
      <c r="G89" s="156"/>
      <c r="H89" s="156"/>
      <c r="I89" s="156"/>
      <c r="J89" s="156"/>
      <c r="AK89" s="156"/>
      <c r="AL89" s="156"/>
      <c r="AM89" s="156"/>
      <c r="AN89" s="156"/>
      <c r="AO89" s="156"/>
      <c r="AP89" s="156"/>
      <c r="AQ89" s="156"/>
      <c r="AR89" s="156"/>
      <c r="AS89" s="156"/>
      <c r="AT89" s="156"/>
    </row>
    <row r="90" spans="1:46" ht="14.4" x14ac:dyDescent="0.3">
      <c r="A90" s="266"/>
      <c r="C90" s="466"/>
      <c r="D90" s="156"/>
      <c r="E90" s="156"/>
      <c r="F90" s="156"/>
      <c r="G90" s="156"/>
      <c r="H90" s="156"/>
      <c r="I90" s="156"/>
      <c r="J90" s="156"/>
      <c r="AK90" s="156"/>
      <c r="AL90" s="156"/>
      <c r="AM90" s="156"/>
      <c r="AN90" s="156"/>
      <c r="AO90" s="156"/>
      <c r="AP90" s="156"/>
      <c r="AQ90" s="156"/>
      <c r="AR90" s="156"/>
      <c r="AS90" s="156"/>
      <c r="AT90" s="156"/>
    </row>
    <row r="91" spans="1:46" ht="14.4" x14ac:dyDescent="0.3">
      <c r="A91" s="266"/>
      <c r="C91" s="604"/>
      <c r="D91" s="156"/>
      <c r="E91" s="156"/>
      <c r="F91" s="156"/>
      <c r="G91" s="156"/>
      <c r="H91" s="156"/>
      <c r="I91" s="156"/>
      <c r="J91" s="156"/>
      <c r="AK91" s="156"/>
      <c r="AL91" s="156"/>
      <c r="AM91" s="156"/>
      <c r="AN91" s="156"/>
      <c r="AO91" s="156"/>
      <c r="AP91" s="156"/>
      <c r="AQ91" s="156"/>
      <c r="AR91" s="156"/>
      <c r="AS91" s="156"/>
      <c r="AT91" s="156"/>
    </row>
    <row r="92" spans="1:46" ht="14.4" x14ac:dyDescent="0.3">
      <c r="A92" s="266"/>
      <c r="C92" s="466"/>
      <c r="D92" s="156"/>
      <c r="E92" s="156"/>
      <c r="F92" s="156"/>
      <c r="G92" s="156"/>
      <c r="H92" s="156"/>
      <c r="I92" s="156"/>
      <c r="J92" s="156"/>
      <c r="AK92" s="156"/>
      <c r="AL92" s="156"/>
      <c r="AM92" s="156"/>
      <c r="AN92" s="156"/>
      <c r="AO92" s="156"/>
      <c r="AP92" s="156"/>
      <c r="AQ92" s="156"/>
      <c r="AR92" s="156"/>
      <c r="AS92" s="156"/>
      <c r="AT92" s="156"/>
    </row>
    <row r="93" spans="1:46" ht="14.4" x14ac:dyDescent="0.3">
      <c r="A93" s="266"/>
      <c r="C93" s="466"/>
      <c r="D93" s="156"/>
      <c r="E93" s="156"/>
      <c r="F93" s="156"/>
      <c r="G93" s="156"/>
      <c r="H93" s="156"/>
      <c r="I93" s="156"/>
      <c r="J93" s="156"/>
      <c r="AK93" s="156"/>
      <c r="AL93" s="156"/>
      <c r="AM93" s="156"/>
      <c r="AN93" s="156"/>
      <c r="AO93" s="156"/>
      <c r="AP93" s="156"/>
      <c r="AQ93" s="156"/>
      <c r="AR93" s="156"/>
      <c r="AS93" s="156"/>
      <c r="AT93" s="156"/>
    </row>
    <row r="94" spans="1:46" ht="14.4" x14ac:dyDescent="0.3">
      <c r="A94" s="266"/>
      <c r="C94" s="466"/>
      <c r="D94" s="156"/>
      <c r="E94" s="156"/>
      <c r="F94" s="156"/>
      <c r="G94" s="156"/>
      <c r="H94" s="156"/>
      <c r="I94" s="156"/>
      <c r="J94" s="156"/>
      <c r="AK94" s="156"/>
      <c r="AL94" s="156"/>
      <c r="AM94" s="156"/>
      <c r="AN94" s="156"/>
      <c r="AO94" s="156"/>
      <c r="AP94" s="156"/>
      <c r="AQ94" s="156"/>
      <c r="AR94" s="156"/>
      <c r="AS94" s="156"/>
      <c r="AT94" s="156"/>
    </row>
    <row r="95" spans="1:46" ht="14.4" x14ac:dyDescent="0.3">
      <c r="A95" s="266"/>
      <c r="C95" s="604"/>
      <c r="D95" s="156"/>
      <c r="E95" s="156"/>
      <c r="F95" s="156"/>
      <c r="G95" s="156"/>
      <c r="H95" s="156"/>
      <c r="I95" s="156"/>
      <c r="J95" s="156"/>
      <c r="AK95" s="156"/>
      <c r="AL95" s="156"/>
      <c r="AM95" s="156"/>
      <c r="AN95" s="156"/>
      <c r="AO95" s="156"/>
      <c r="AP95" s="156"/>
      <c r="AQ95" s="156"/>
      <c r="AR95" s="156"/>
      <c r="AS95" s="156"/>
      <c r="AT95" s="156"/>
    </row>
    <row r="96" spans="1:46" ht="15" thickBot="1" x14ac:dyDescent="0.35">
      <c r="A96" s="266"/>
      <c r="C96" s="599"/>
      <c r="D96" s="156"/>
      <c r="E96" s="156"/>
      <c r="F96" s="156"/>
      <c r="G96" s="156"/>
      <c r="H96" s="156"/>
      <c r="I96" s="156"/>
      <c r="J96" s="156"/>
      <c r="AK96" s="156"/>
      <c r="AL96" s="156"/>
      <c r="AM96" s="156"/>
      <c r="AN96" s="156"/>
      <c r="AO96" s="156"/>
      <c r="AP96" s="156"/>
      <c r="AQ96" s="156"/>
      <c r="AR96" s="156"/>
      <c r="AS96" s="156"/>
      <c r="AT96" s="156"/>
    </row>
    <row r="97" spans="1:46" ht="15" thickTop="1" x14ac:dyDescent="0.3">
      <c r="A97" s="266"/>
      <c r="C97" s="9"/>
      <c r="D97" s="156"/>
      <c r="E97" s="156"/>
      <c r="F97" s="156"/>
      <c r="G97" s="156"/>
      <c r="H97" s="156"/>
      <c r="I97" s="156"/>
      <c r="J97" s="156"/>
      <c r="AK97" s="156"/>
      <c r="AL97" s="156"/>
      <c r="AM97" s="156"/>
      <c r="AN97" s="156"/>
      <c r="AO97" s="156"/>
      <c r="AP97" s="156"/>
      <c r="AQ97" s="156"/>
      <c r="AR97" s="156"/>
      <c r="AS97" s="156"/>
      <c r="AT97" s="156"/>
    </row>
    <row r="98" spans="1:46" ht="14.4" x14ac:dyDescent="0.3">
      <c r="A98" s="266"/>
      <c r="C98" s="9"/>
      <c r="D98" s="156"/>
      <c r="E98" s="156"/>
      <c r="F98" s="156"/>
      <c r="G98" s="156"/>
      <c r="H98" s="156"/>
      <c r="I98" s="156"/>
      <c r="J98" s="156"/>
      <c r="AK98" s="156"/>
      <c r="AL98" s="156"/>
      <c r="AM98" s="156"/>
      <c r="AN98" s="156"/>
      <c r="AO98" s="156"/>
      <c r="AP98" s="156"/>
      <c r="AQ98" s="156"/>
      <c r="AR98" s="156"/>
      <c r="AS98" s="156"/>
      <c r="AT98" s="156"/>
    </row>
    <row r="99" spans="1:46" ht="14.4" x14ac:dyDescent="0.3">
      <c r="A99" s="266"/>
      <c r="C99" s="9"/>
      <c r="D99" s="156"/>
      <c r="E99" s="156"/>
      <c r="F99" s="156"/>
      <c r="G99" s="156"/>
      <c r="H99" s="156"/>
      <c r="I99" s="156"/>
      <c r="J99" s="156"/>
      <c r="AK99" s="156"/>
      <c r="AL99" s="156"/>
      <c r="AM99" s="156"/>
      <c r="AN99" s="156"/>
      <c r="AO99" s="156"/>
      <c r="AP99" s="156"/>
      <c r="AQ99" s="156"/>
      <c r="AR99" s="156"/>
      <c r="AS99" s="156"/>
      <c r="AT99" s="156"/>
    </row>
    <row r="100" spans="1:46" ht="14.4" x14ac:dyDescent="0.3">
      <c r="A100" s="266"/>
      <c r="B100" s="222"/>
      <c r="C100" s="8"/>
      <c r="D100" s="156"/>
      <c r="E100" s="156"/>
      <c r="F100" s="156"/>
      <c r="G100" s="156"/>
      <c r="H100" s="156"/>
      <c r="I100" s="156"/>
      <c r="J100" s="156"/>
      <c r="AK100" s="156"/>
      <c r="AL100" s="156"/>
      <c r="AM100" s="156"/>
      <c r="AN100" s="156"/>
      <c r="AO100" s="156"/>
      <c r="AP100" s="156"/>
      <c r="AQ100" s="156"/>
      <c r="AR100" s="156"/>
      <c r="AS100" s="156"/>
      <c r="AT100" s="156"/>
    </row>
    <row r="101" spans="1:46" ht="14.4" x14ac:dyDescent="0.3">
      <c r="A101" s="156"/>
      <c r="B101" s="156"/>
      <c r="C101" s="156"/>
      <c r="D101" s="156"/>
      <c r="E101" s="156"/>
      <c r="F101" s="156"/>
      <c r="G101" s="156"/>
      <c r="H101" s="156"/>
      <c r="I101" s="156"/>
      <c r="J101" s="156"/>
      <c r="AK101" s="156"/>
      <c r="AL101" s="156"/>
      <c r="AM101" s="156"/>
      <c r="AN101" s="156"/>
      <c r="AO101" s="156"/>
      <c r="AP101" s="156"/>
      <c r="AQ101" s="156"/>
      <c r="AR101" s="156"/>
      <c r="AS101" s="156"/>
      <c r="AT101" s="156"/>
    </row>
    <row r="102" spans="1:46" ht="14.4" x14ac:dyDescent="0.3">
      <c r="A102" s="156"/>
      <c r="B102" s="156"/>
      <c r="C102" s="156"/>
      <c r="D102" s="156"/>
      <c r="E102" s="156"/>
      <c r="F102" s="156"/>
      <c r="G102" s="156"/>
      <c r="H102" s="156"/>
      <c r="I102" s="156"/>
      <c r="J102" s="156"/>
      <c r="AK102" s="156"/>
      <c r="AL102" s="156"/>
      <c r="AM102" s="156"/>
      <c r="AN102" s="156"/>
      <c r="AO102" s="156"/>
      <c r="AP102" s="156"/>
      <c r="AQ102" s="156"/>
      <c r="AR102" s="156"/>
      <c r="AS102" s="156"/>
      <c r="AT102" s="156"/>
    </row>
    <row r="103" spans="1:46" ht="14.4" x14ac:dyDescent="0.3">
      <c r="A103" s="156"/>
      <c r="B103" s="156"/>
      <c r="C103" s="156"/>
      <c r="D103" s="156"/>
      <c r="E103" s="156"/>
      <c r="F103" s="156"/>
      <c r="G103" s="156"/>
      <c r="H103" s="156"/>
      <c r="I103" s="156"/>
      <c r="J103" s="156"/>
      <c r="AK103" s="156"/>
      <c r="AL103" s="156"/>
      <c r="AM103" s="156"/>
      <c r="AN103" s="156"/>
      <c r="AO103" s="156"/>
      <c r="AP103" s="156"/>
      <c r="AQ103" s="156"/>
      <c r="AR103" s="156"/>
      <c r="AS103" s="156"/>
      <c r="AT103" s="156"/>
    </row>
    <row r="104" spans="1:46" ht="14.4" x14ac:dyDescent="0.3">
      <c r="A104" s="156"/>
      <c r="B104" s="156"/>
      <c r="C104" s="156"/>
      <c r="D104" s="156"/>
      <c r="E104" s="156"/>
      <c r="F104" s="156"/>
      <c r="G104" s="156"/>
      <c r="H104" s="156"/>
      <c r="I104" s="156"/>
      <c r="J104" s="156"/>
      <c r="AK104" s="156"/>
      <c r="AL104" s="156"/>
      <c r="AM104" s="156"/>
      <c r="AN104" s="156"/>
      <c r="AO104" s="156"/>
      <c r="AP104" s="156"/>
      <c r="AQ104" s="156"/>
      <c r="AR104" s="156"/>
      <c r="AS104" s="156"/>
      <c r="AT104" s="156"/>
    </row>
    <row r="105" spans="1:46" ht="14.4" x14ac:dyDescent="0.3">
      <c r="A105" s="156"/>
      <c r="B105" s="156"/>
      <c r="C105" s="156"/>
      <c r="D105" s="156"/>
      <c r="E105" s="156"/>
      <c r="F105" s="156"/>
      <c r="G105" s="156"/>
      <c r="H105" s="156"/>
      <c r="I105" s="156"/>
      <c r="J105" s="156"/>
      <c r="AK105" s="156"/>
      <c r="AL105" s="156"/>
      <c r="AM105" s="156"/>
      <c r="AN105" s="156"/>
      <c r="AO105" s="156"/>
      <c r="AP105" s="156"/>
      <c r="AQ105" s="156"/>
      <c r="AR105" s="156"/>
      <c r="AS105" s="156"/>
      <c r="AT105" s="156"/>
    </row>
    <row r="106" spans="1:46" ht="14.4" x14ac:dyDescent="0.3">
      <c r="A106" s="156"/>
      <c r="B106" s="156"/>
      <c r="C106" s="156"/>
      <c r="D106" s="156"/>
      <c r="E106" s="156"/>
      <c r="F106" s="156"/>
      <c r="G106" s="156"/>
      <c r="H106" s="156"/>
      <c r="I106" s="156"/>
      <c r="J106" s="156"/>
      <c r="AK106" s="156"/>
      <c r="AL106" s="156"/>
      <c r="AM106" s="156"/>
      <c r="AN106" s="156"/>
      <c r="AO106" s="156"/>
      <c r="AP106" s="156"/>
      <c r="AQ106" s="156"/>
      <c r="AR106" s="156"/>
      <c r="AS106" s="156"/>
      <c r="AT106" s="156"/>
    </row>
    <row r="107" spans="1:46" ht="14.4" x14ac:dyDescent="0.3">
      <c r="A107" s="156"/>
      <c r="B107" s="156"/>
      <c r="C107" s="156"/>
      <c r="D107" s="156"/>
      <c r="E107" s="156"/>
      <c r="F107" s="156"/>
      <c r="G107" s="156"/>
      <c r="H107" s="156"/>
      <c r="I107" s="156"/>
      <c r="J107" s="156"/>
      <c r="AK107" s="156"/>
      <c r="AL107" s="156"/>
      <c r="AM107" s="156"/>
      <c r="AN107" s="156"/>
      <c r="AO107" s="156"/>
      <c r="AP107" s="156"/>
      <c r="AQ107" s="156"/>
      <c r="AR107" s="156"/>
      <c r="AS107" s="156"/>
      <c r="AT107" s="156"/>
    </row>
    <row r="108" spans="1:46" ht="14.4" x14ac:dyDescent="0.3">
      <c r="A108" s="156"/>
      <c r="B108" s="156"/>
      <c r="C108" s="156"/>
      <c r="D108" s="156"/>
      <c r="E108" s="156"/>
      <c r="F108" s="156"/>
      <c r="G108" s="156"/>
      <c r="H108" s="156"/>
      <c r="I108" s="156"/>
      <c r="J108" s="156"/>
      <c r="AK108" s="156"/>
      <c r="AL108" s="156"/>
      <c r="AM108" s="156"/>
      <c r="AN108" s="156"/>
      <c r="AO108" s="156"/>
      <c r="AP108" s="156"/>
      <c r="AQ108" s="156"/>
      <c r="AR108" s="156"/>
      <c r="AS108" s="156"/>
      <c r="AT108" s="156"/>
    </row>
    <row r="109" spans="1:46" ht="14.4" x14ac:dyDescent="0.3">
      <c r="A109" s="156"/>
      <c r="B109" s="156"/>
      <c r="C109" s="156"/>
      <c r="D109" s="156"/>
      <c r="E109" s="156"/>
      <c r="F109" s="156"/>
      <c r="G109" s="156"/>
      <c r="H109" s="156"/>
      <c r="I109" s="156"/>
      <c r="J109" s="156"/>
      <c r="AK109" s="156"/>
      <c r="AL109" s="156"/>
      <c r="AM109" s="156"/>
      <c r="AN109" s="156"/>
      <c r="AO109" s="156"/>
      <c r="AP109" s="156"/>
      <c r="AQ109" s="156"/>
      <c r="AR109" s="156"/>
      <c r="AS109" s="156"/>
      <c r="AT109" s="156"/>
    </row>
    <row r="110" spans="1:46" ht="14.4" x14ac:dyDescent="0.3">
      <c r="A110" s="156"/>
      <c r="B110" s="156"/>
      <c r="C110" s="156"/>
      <c r="D110" s="156"/>
      <c r="E110" s="156"/>
      <c r="F110" s="156"/>
      <c r="G110" s="156"/>
      <c r="H110" s="156"/>
      <c r="I110" s="156"/>
      <c r="J110" s="156"/>
      <c r="AK110" s="156"/>
      <c r="AL110" s="156"/>
      <c r="AM110" s="156"/>
      <c r="AN110" s="156"/>
      <c r="AO110" s="156"/>
      <c r="AP110" s="156"/>
      <c r="AQ110" s="156"/>
      <c r="AR110" s="156"/>
      <c r="AS110" s="156"/>
      <c r="AT110" s="156"/>
    </row>
    <row r="111" spans="1:46" ht="14.4" x14ac:dyDescent="0.3">
      <c r="A111" s="156"/>
      <c r="B111" s="156"/>
      <c r="C111" s="156"/>
      <c r="D111" s="156"/>
      <c r="E111" s="156"/>
      <c r="F111" s="156"/>
      <c r="G111" s="156"/>
      <c r="H111" s="156"/>
      <c r="I111" s="156"/>
      <c r="J111" s="156"/>
      <c r="AK111" s="156"/>
      <c r="AL111" s="156"/>
      <c r="AM111" s="156"/>
      <c r="AN111" s="156"/>
      <c r="AO111" s="156"/>
      <c r="AP111" s="156"/>
      <c r="AQ111" s="156"/>
      <c r="AR111" s="156"/>
      <c r="AS111" s="156"/>
      <c r="AT111" s="156"/>
    </row>
    <row r="112" spans="1:46" ht="14.4" x14ac:dyDescent="0.3">
      <c r="A112" s="156"/>
      <c r="B112" s="156"/>
      <c r="C112" s="156"/>
      <c r="D112" s="156"/>
      <c r="E112" s="156"/>
      <c r="F112" s="156"/>
      <c r="G112" s="156"/>
      <c r="H112" s="156"/>
      <c r="I112" s="156"/>
      <c r="J112" s="156"/>
      <c r="AK112" s="156"/>
      <c r="AL112" s="156"/>
      <c r="AM112" s="156"/>
      <c r="AN112" s="156"/>
      <c r="AO112" s="156"/>
      <c r="AP112" s="156"/>
      <c r="AQ112" s="156"/>
      <c r="AR112" s="156"/>
      <c r="AS112" s="156"/>
      <c r="AT112" s="156"/>
    </row>
    <row r="113" spans="1:46" ht="14.4" x14ac:dyDescent="0.3">
      <c r="A113" s="156"/>
      <c r="B113" s="156"/>
      <c r="C113" s="156"/>
      <c r="D113" s="156"/>
      <c r="E113" s="156"/>
      <c r="F113" s="156"/>
      <c r="G113" s="156"/>
      <c r="H113" s="156"/>
      <c r="I113" s="156"/>
      <c r="J113" s="156"/>
      <c r="AK113" s="156"/>
      <c r="AL113" s="156"/>
      <c r="AM113" s="156"/>
      <c r="AN113" s="156"/>
      <c r="AO113" s="156"/>
      <c r="AP113" s="156"/>
      <c r="AQ113" s="156"/>
      <c r="AR113" s="156"/>
      <c r="AS113" s="156"/>
      <c r="AT113" s="156"/>
    </row>
    <row r="114" spans="1:46" ht="14.4" x14ac:dyDescent="0.3">
      <c r="A114" s="156"/>
      <c r="B114" s="156"/>
      <c r="C114" s="156"/>
      <c r="D114" s="156"/>
      <c r="E114" s="156"/>
      <c r="F114" s="156"/>
      <c r="G114" s="156"/>
      <c r="H114" s="156"/>
      <c r="I114" s="156"/>
      <c r="J114" s="156"/>
      <c r="AK114" s="156"/>
      <c r="AL114" s="156"/>
      <c r="AM114" s="156"/>
      <c r="AN114" s="156"/>
      <c r="AO114" s="156"/>
      <c r="AP114" s="156"/>
      <c r="AQ114" s="156"/>
      <c r="AR114" s="156"/>
      <c r="AS114" s="156"/>
      <c r="AT114" s="156"/>
    </row>
    <row r="115" spans="1:46" ht="14.4" x14ac:dyDescent="0.3">
      <c r="A115" s="156"/>
      <c r="B115" s="156"/>
      <c r="C115" s="156"/>
      <c r="D115" s="156"/>
      <c r="E115" s="156"/>
      <c r="F115" s="156"/>
      <c r="G115" s="156"/>
      <c r="H115" s="156"/>
      <c r="I115" s="156"/>
      <c r="J115" s="156"/>
      <c r="AK115" s="156"/>
      <c r="AL115" s="156"/>
      <c r="AM115" s="156"/>
      <c r="AN115" s="156"/>
      <c r="AO115" s="156"/>
      <c r="AP115" s="156"/>
      <c r="AQ115" s="156"/>
      <c r="AR115" s="156"/>
      <c r="AS115" s="156"/>
      <c r="AT115" s="156"/>
    </row>
    <row r="116" spans="1:46" ht="14.4" x14ac:dyDescent="0.3">
      <c r="A116" s="156"/>
      <c r="B116" s="156"/>
      <c r="C116" s="156"/>
      <c r="D116" s="156"/>
      <c r="E116" s="156"/>
      <c r="F116" s="156"/>
      <c r="G116" s="156"/>
      <c r="H116" s="156"/>
      <c r="I116" s="156"/>
      <c r="J116" s="156"/>
      <c r="AK116" s="156"/>
      <c r="AL116" s="156"/>
      <c r="AM116" s="156"/>
      <c r="AN116" s="156"/>
      <c r="AO116" s="156"/>
      <c r="AP116" s="156"/>
      <c r="AQ116" s="156"/>
      <c r="AR116" s="156"/>
      <c r="AS116" s="156"/>
      <c r="AT116" s="156"/>
    </row>
    <row r="117" spans="1:46" ht="14.4" x14ac:dyDescent="0.3">
      <c r="A117" s="156"/>
      <c r="B117" s="156"/>
      <c r="C117" s="156"/>
      <c r="D117" s="156"/>
      <c r="E117" s="156"/>
      <c r="F117" s="156"/>
      <c r="G117" s="156"/>
      <c r="H117" s="156"/>
      <c r="I117" s="156"/>
      <c r="J117" s="156"/>
      <c r="AK117" s="156"/>
      <c r="AL117" s="156"/>
      <c r="AM117" s="156"/>
      <c r="AN117" s="156"/>
      <c r="AO117" s="156"/>
      <c r="AP117" s="156"/>
      <c r="AQ117" s="156"/>
      <c r="AR117" s="156"/>
      <c r="AS117" s="156"/>
      <c r="AT117" s="156"/>
    </row>
    <row r="118" spans="1:46" ht="14.4" x14ac:dyDescent="0.3">
      <c r="A118" s="156"/>
      <c r="B118" s="156"/>
      <c r="C118" s="156"/>
      <c r="D118" s="156"/>
      <c r="E118" s="156"/>
      <c r="F118" s="156"/>
      <c r="G118" s="156"/>
      <c r="H118" s="156"/>
      <c r="I118" s="156"/>
      <c r="J118" s="156"/>
      <c r="AK118" s="156"/>
      <c r="AL118" s="156"/>
      <c r="AM118" s="156"/>
      <c r="AN118" s="156"/>
      <c r="AO118" s="156"/>
      <c r="AP118" s="156"/>
      <c r="AQ118" s="156"/>
      <c r="AR118" s="156"/>
      <c r="AS118" s="156"/>
      <c r="AT118" s="156"/>
    </row>
    <row r="119" spans="1:46" ht="14.4" x14ac:dyDescent="0.3">
      <c r="A119" s="156"/>
      <c r="B119" s="156"/>
      <c r="C119" s="156"/>
      <c r="D119" s="156"/>
      <c r="E119" s="156"/>
      <c r="F119" s="156"/>
      <c r="G119" s="156"/>
      <c r="H119" s="156"/>
      <c r="I119" s="156"/>
      <c r="J119" s="156"/>
      <c r="AK119" s="156"/>
      <c r="AL119" s="156"/>
      <c r="AM119" s="156"/>
      <c r="AN119" s="156"/>
      <c r="AO119" s="156"/>
      <c r="AP119" s="156"/>
      <c r="AQ119" s="156"/>
      <c r="AR119" s="156"/>
      <c r="AS119" s="156"/>
      <c r="AT119" s="156"/>
    </row>
    <row r="120" spans="1:46" ht="14.4" x14ac:dyDescent="0.3">
      <c r="A120" s="156"/>
      <c r="B120" s="156"/>
      <c r="C120" s="156"/>
      <c r="D120" s="156"/>
      <c r="E120" s="156"/>
      <c r="F120" s="156"/>
      <c r="G120" s="156"/>
      <c r="H120" s="156"/>
      <c r="I120" s="156"/>
      <c r="J120" s="156"/>
      <c r="AK120" s="156"/>
      <c r="AL120" s="156"/>
      <c r="AM120" s="156"/>
      <c r="AN120" s="156"/>
      <c r="AO120" s="156"/>
      <c r="AP120" s="156"/>
      <c r="AQ120" s="156"/>
      <c r="AR120" s="156"/>
      <c r="AS120" s="156"/>
      <c r="AT120" s="156"/>
    </row>
    <row r="121" spans="1:46" ht="14.4" x14ac:dyDescent="0.3">
      <c r="A121" s="156"/>
      <c r="B121" s="156"/>
      <c r="C121" s="156"/>
      <c r="D121" s="156"/>
      <c r="E121" s="156"/>
      <c r="F121" s="156"/>
      <c r="G121" s="156"/>
      <c r="H121" s="156"/>
      <c r="I121" s="156"/>
      <c r="J121" s="156"/>
      <c r="AK121" s="156"/>
      <c r="AL121" s="156"/>
      <c r="AM121" s="156"/>
      <c r="AN121" s="156"/>
      <c r="AO121" s="156"/>
      <c r="AP121" s="156"/>
      <c r="AQ121" s="156"/>
      <c r="AR121" s="156"/>
      <c r="AS121" s="156"/>
      <c r="AT121" s="156"/>
    </row>
    <row r="122" spans="1:46" ht="14.4" x14ac:dyDescent="0.3">
      <c r="A122" s="156"/>
      <c r="B122" s="156"/>
      <c r="C122" s="156"/>
      <c r="D122" s="156"/>
      <c r="E122" s="156"/>
      <c r="F122" s="156"/>
      <c r="G122" s="156"/>
      <c r="H122" s="156"/>
      <c r="I122" s="156"/>
      <c r="J122" s="156"/>
      <c r="AK122" s="156"/>
      <c r="AL122" s="156"/>
      <c r="AM122" s="156"/>
      <c r="AN122" s="156"/>
      <c r="AO122" s="156"/>
      <c r="AP122" s="156"/>
      <c r="AQ122" s="156"/>
      <c r="AR122" s="156"/>
      <c r="AS122" s="156"/>
      <c r="AT122" s="156"/>
    </row>
    <row r="123" spans="1:46" ht="14.4" x14ac:dyDescent="0.3">
      <c r="A123" s="156"/>
      <c r="B123" s="156"/>
      <c r="C123" s="156"/>
      <c r="D123" s="156"/>
      <c r="E123" s="156"/>
      <c r="F123" s="156"/>
      <c r="G123" s="156"/>
      <c r="H123" s="156"/>
      <c r="I123" s="156"/>
      <c r="J123" s="156"/>
      <c r="AK123" s="156"/>
      <c r="AL123" s="156"/>
      <c r="AM123" s="156"/>
      <c r="AN123" s="156"/>
      <c r="AO123" s="156"/>
      <c r="AP123" s="156"/>
      <c r="AQ123" s="156"/>
      <c r="AR123" s="156"/>
      <c r="AS123" s="156"/>
      <c r="AT123" s="156"/>
    </row>
    <row r="124" spans="1:46" ht="14.4" x14ac:dyDescent="0.3">
      <c r="A124" s="156"/>
      <c r="B124" s="156"/>
      <c r="C124" s="156"/>
      <c r="D124" s="156"/>
      <c r="E124" s="156"/>
      <c r="F124" s="156"/>
      <c r="G124" s="156"/>
      <c r="H124" s="156"/>
      <c r="I124" s="156"/>
      <c r="J124" s="156"/>
      <c r="AK124" s="156"/>
      <c r="AL124" s="156"/>
      <c r="AM124" s="156"/>
      <c r="AN124" s="156"/>
      <c r="AO124" s="156"/>
      <c r="AP124" s="156"/>
      <c r="AQ124" s="156"/>
      <c r="AR124" s="156"/>
      <c r="AS124" s="156"/>
      <c r="AT124" s="156"/>
    </row>
    <row r="125" spans="1:46" ht="14.4" x14ac:dyDescent="0.3">
      <c r="A125" s="156"/>
      <c r="B125" s="156"/>
      <c r="C125" s="156"/>
      <c r="D125" s="156"/>
      <c r="E125" s="156"/>
      <c r="F125" s="156"/>
      <c r="G125" s="156"/>
      <c r="H125" s="156"/>
      <c r="I125" s="156"/>
      <c r="J125" s="156"/>
      <c r="AK125" s="156"/>
      <c r="AL125" s="156"/>
      <c r="AM125" s="156"/>
      <c r="AN125" s="156"/>
      <c r="AO125" s="156"/>
      <c r="AP125" s="156"/>
      <c r="AQ125" s="156"/>
      <c r="AR125" s="156"/>
      <c r="AS125" s="156"/>
      <c r="AT125" s="156"/>
    </row>
    <row r="126" spans="1:46" ht="14.4" x14ac:dyDescent="0.3">
      <c r="A126" s="156"/>
      <c r="B126" s="156"/>
      <c r="C126" s="156"/>
      <c r="D126" s="156"/>
      <c r="E126" s="156"/>
      <c r="F126" s="156"/>
      <c r="G126" s="156"/>
      <c r="H126" s="156"/>
      <c r="I126" s="156"/>
      <c r="J126" s="156"/>
      <c r="AK126" s="156"/>
      <c r="AL126" s="156"/>
      <c r="AM126" s="156"/>
      <c r="AN126" s="156"/>
      <c r="AO126" s="156"/>
      <c r="AP126" s="156"/>
      <c r="AQ126" s="156"/>
      <c r="AR126" s="156"/>
      <c r="AS126" s="156"/>
      <c r="AT126" s="156"/>
    </row>
    <row r="127" spans="1:46" ht="14.4" x14ac:dyDescent="0.3">
      <c r="A127" s="156"/>
      <c r="B127" s="156"/>
      <c r="C127" s="156"/>
      <c r="D127" s="156"/>
      <c r="E127" s="156"/>
      <c r="F127" s="156"/>
      <c r="G127" s="156"/>
      <c r="H127" s="156"/>
      <c r="I127" s="156"/>
      <c r="J127" s="156"/>
      <c r="AK127" s="156"/>
      <c r="AL127" s="156"/>
      <c r="AM127" s="156"/>
      <c r="AN127" s="156"/>
      <c r="AO127" s="156"/>
      <c r="AP127" s="156"/>
      <c r="AQ127" s="156"/>
      <c r="AR127" s="156"/>
      <c r="AS127" s="156"/>
      <c r="AT127" s="156"/>
    </row>
    <row r="128" spans="1:46" ht="14.4" x14ac:dyDescent="0.3">
      <c r="A128" s="156"/>
      <c r="B128" s="156"/>
      <c r="C128" s="156"/>
      <c r="D128" s="156"/>
      <c r="E128" s="156"/>
      <c r="F128" s="156"/>
      <c r="G128" s="156"/>
      <c r="H128" s="156"/>
      <c r="I128" s="156"/>
      <c r="J128" s="156"/>
      <c r="AK128" s="156"/>
      <c r="AL128" s="156"/>
      <c r="AM128" s="156"/>
      <c r="AN128" s="156"/>
      <c r="AO128" s="156"/>
      <c r="AP128" s="156"/>
      <c r="AQ128" s="156"/>
      <c r="AR128" s="156"/>
      <c r="AS128" s="156"/>
      <c r="AT128" s="156"/>
    </row>
    <row r="129" spans="1:46" ht="14.4" x14ac:dyDescent="0.3">
      <c r="A129" s="156"/>
      <c r="B129" s="156"/>
      <c r="C129" s="156"/>
      <c r="D129" s="156"/>
      <c r="E129" s="156"/>
      <c r="F129" s="156"/>
      <c r="G129" s="156"/>
      <c r="H129" s="156"/>
      <c r="I129" s="156"/>
      <c r="J129" s="156"/>
      <c r="AK129" s="156"/>
      <c r="AL129" s="156"/>
      <c r="AM129" s="156"/>
      <c r="AN129" s="156"/>
      <c r="AO129" s="156"/>
      <c r="AP129" s="156"/>
      <c r="AQ129" s="156"/>
      <c r="AR129" s="156"/>
      <c r="AS129" s="156"/>
      <c r="AT129" s="156"/>
    </row>
    <row r="130" spans="1:46" ht="14.4" x14ac:dyDescent="0.3">
      <c r="A130" s="156"/>
      <c r="B130" s="156"/>
      <c r="C130" s="156"/>
      <c r="D130" s="156"/>
      <c r="E130" s="156"/>
      <c r="F130" s="156"/>
      <c r="G130" s="156"/>
      <c r="H130" s="156"/>
      <c r="I130" s="156"/>
      <c r="J130" s="156"/>
      <c r="AK130" s="156"/>
      <c r="AL130" s="156"/>
      <c r="AM130" s="156"/>
      <c r="AN130" s="156"/>
      <c r="AO130" s="156"/>
      <c r="AP130" s="156"/>
      <c r="AQ130" s="156"/>
      <c r="AR130" s="156"/>
      <c r="AS130" s="156"/>
      <c r="AT130" s="156"/>
    </row>
    <row r="131" spans="1:46" ht="14.4" x14ac:dyDescent="0.3">
      <c r="A131" s="156"/>
      <c r="B131" s="156"/>
      <c r="C131" s="156"/>
      <c r="D131" s="156"/>
      <c r="E131" s="156"/>
      <c r="F131" s="156"/>
      <c r="G131" s="156"/>
      <c r="H131" s="156"/>
      <c r="I131" s="156"/>
      <c r="J131" s="156"/>
      <c r="AK131" s="156"/>
      <c r="AL131" s="156"/>
      <c r="AM131" s="156"/>
      <c r="AN131" s="156"/>
      <c r="AO131" s="156"/>
      <c r="AP131" s="156"/>
      <c r="AQ131" s="156"/>
      <c r="AR131" s="156"/>
      <c r="AS131" s="156"/>
      <c r="AT131" s="156"/>
    </row>
    <row r="132" spans="1:46" ht="14.4" x14ac:dyDescent="0.3">
      <c r="A132" s="156"/>
      <c r="B132" s="156"/>
      <c r="C132" s="156"/>
      <c r="D132" s="156"/>
      <c r="E132" s="156"/>
      <c r="F132" s="156"/>
      <c r="G132" s="156"/>
      <c r="H132" s="156"/>
      <c r="I132" s="156"/>
      <c r="J132" s="156"/>
      <c r="AK132" s="156"/>
      <c r="AL132" s="156"/>
      <c r="AM132" s="156"/>
      <c r="AN132" s="156"/>
      <c r="AO132" s="156"/>
      <c r="AP132" s="156"/>
      <c r="AQ132" s="156"/>
      <c r="AR132" s="156"/>
      <c r="AS132" s="156"/>
      <c r="AT132" s="156"/>
    </row>
    <row r="133" spans="1:46" ht="14.4" x14ac:dyDescent="0.3">
      <c r="A133" s="156"/>
      <c r="B133" s="156"/>
      <c r="C133" s="156"/>
      <c r="D133" s="156"/>
      <c r="E133" s="156"/>
      <c r="F133" s="156"/>
      <c r="G133" s="156"/>
      <c r="H133" s="156"/>
      <c r="I133" s="156"/>
      <c r="J133" s="156"/>
      <c r="AK133" s="156"/>
      <c r="AL133" s="156"/>
      <c r="AM133" s="156"/>
      <c r="AN133" s="156"/>
      <c r="AO133" s="156"/>
      <c r="AP133" s="156"/>
      <c r="AQ133" s="156"/>
      <c r="AR133" s="156"/>
      <c r="AS133" s="156"/>
      <c r="AT133" s="156"/>
    </row>
    <row r="134" spans="1:46" ht="14.4" x14ac:dyDescent="0.3">
      <c r="A134" s="156"/>
      <c r="B134" s="156"/>
      <c r="C134" s="156"/>
      <c r="D134" s="156"/>
      <c r="E134" s="156"/>
      <c r="F134" s="156"/>
      <c r="G134" s="156"/>
      <c r="H134" s="156"/>
      <c r="I134" s="156"/>
      <c r="J134" s="156"/>
      <c r="AK134" s="156"/>
      <c r="AL134" s="156"/>
      <c r="AM134" s="156"/>
      <c r="AN134" s="156"/>
      <c r="AO134" s="156"/>
      <c r="AP134" s="156"/>
      <c r="AQ134" s="156"/>
      <c r="AR134" s="156"/>
      <c r="AS134" s="156"/>
      <c r="AT134" s="156"/>
    </row>
    <row r="135" spans="1:46" ht="14.4" x14ac:dyDescent="0.3">
      <c r="A135" s="156"/>
      <c r="B135" s="156"/>
      <c r="C135" s="156"/>
      <c r="D135" s="156"/>
      <c r="E135" s="156"/>
      <c r="F135" s="156"/>
      <c r="G135" s="156"/>
      <c r="H135" s="156"/>
      <c r="I135" s="156"/>
      <c r="J135" s="156"/>
      <c r="AK135" s="156"/>
      <c r="AL135" s="156"/>
      <c r="AM135" s="156"/>
      <c r="AN135" s="156"/>
      <c r="AO135" s="156"/>
      <c r="AP135" s="156"/>
      <c r="AQ135" s="156"/>
      <c r="AR135" s="156"/>
      <c r="AS135" s="156"/>
      <c r="AT135" s="156"/>
    </row>
    <row r="136" spans="1:46" ht="14.4" x14ac:dyDescent="0.3">
      <c r="A136" s="156"/>
      <c r="B136" s="156"/>
      <c r="C136" s="156"/>
      <c r="D136" s="156"/>
      <c r="E136" s="156"/>
      <c r="F136" s="156"/>
      <c r="G136" s="156"/>
      <c r="H136" s="156"/>
      <c r="I136" s="156"/>
      <c r="J136" s="156"/>
      <c r="AK136" s="156"/>
      <c r="AL136" s="156"/>
      <c r="AM136" s="156"/>
      <c r="AN136" s="156"/>
      <c r="AO136" s="156"/>
      <c r="AP136" s="156"/>
      <c r="AQ136" s="156"/>
      <c r="AR136" s="156"/>
      <c r="AS136" s="156"/>
      <c r="AT136" s="156"/>
    </row>
    <row r="137" spans="1:46" ht="14.4" x14ac:dyDescent="0.3">
      <c r="A137" s="156"/>
      <c r="B137" s="156"/>
      <c r="C137" s="156"/>
      <c r="D137" s="156"/>
      <c r="E137" s="156"/>
      <c r="F137" s="156"/>
      <c r="G137" s="156"/>
      <c r="H137" s="156"/>
      <c r="I137" s="156"/>
      <c r="J137" s="156"/>
      <c r="AK137" s="156"/>
      <c r="AL137" s="156"/>
      <c r="AM137" s="156"/>
      <c r="AN137" s="156"/>
      <c r="AO137" s="156"/>
      <c r="AP137" s="156"/>
      <c r="AQ137" s="156"/>
      <c r="AR137" s="156"/>
      <c r="AS137" s="156"/>
      <c r="AT137" s="156"/>
    </row>
    <row r="138" spans="1:46" ht="14.4" x14ac:dyDescent="0.3">
      <c r="A138" s="156"/>
      <c r="B138" s="156"/>
      <c r="C138" s="156"/>
      <c r="D138" s="156"/>
      <c r="E138" s="156"/>
      <c r="F138" s="156"/>
      <c r="G138" s="156"/>
      <c r="H138" s="156"/>
      <c r="I138" s="156"/>
      <c r="J138" s="156"/>
      <c r="AK138" s="156"/>
      <c r="AL138" s="156"/>
      <c r="AM138" s="156"/>
      <c r="AN138" s="156"/>
      <c r="AO138" s="156"/>
      <c r="AP138" s="156"/>
      <c r="AQ138" s="156"/>
      <c r="AR138" s="156"/>
      <c r="AS138" s="156"/>
      <c r="AT138" s="156"/>
    </row>
    <row r="139" spans="1:46" ht="14.4" x14ac:dyDescent="0.3">
      <c r="A139" s="156"/>
      <c r="B139" s="156"/>
      <c r="C139" s="156"/>
      <c r="D139" s="156"/>
      <c r="E139" s="156"/>
      <c r="F139" s="156"/>
      <c r="G139" s="156"/>
      <c r="H139" s="156"/>
      <c r="I139" s="156"/>
      <c r="J139" s="156"/>
      <c r="AK139" s="156"/>
      <c r="AL139" s="156"/>
      <c r="AM139" s="156"/>
      <c r="AN139" s="156"/>
      <c r="AO139" s="156"/>
      <c r="AP139" s="156"/>
      <c r="AQ139" s="156"/>
      <c r="AR139" s="156"/>
      <c r="AS139" s="156"/>
      <c r="AT139" s="156"/>
    </row>
    <row r="140" spans="1:46" ht="14.4" x14ac:dyDescent="0.3">
      <c r="A140" s="156"/>
      <c r="B140" s="156"/>
      <c r="C140" s="156"/>
      <c r="D140" s="156"/>
      <c r="E140" s="156"/>
      <c r="F140" s="156"/>
      <c r="G140" s="156"/>
      <c r="H140" s="156"/>
      <c r="I140" s="156"/>
      <c r="J140" s="156"/>
      <c r="AK140" s="156"/>
      <c r="AL140" s="156"/>
      <c r="AM140" s="156"/>
      <c r="AN140" s="156"/>
      <c r="AO140" s="156"/>
      <c r="AP140" s="156"/>
      <c r="AQ140" s="156"/>
      <c r="AR140" s="156"/>
      <c r="AS140" s="156"/>
      <c r="AT140" s="156"/>
    </row>
    <row r="141" spans="1:46" ht="14.4" x14ac:dyDescent="0.3">
      <c r="A141" s="156"/>
      <c r="B141" s="156"/>
      <c r="C141" s="156"/>
      <c r="D141" s="156"/>
      <c r="E141" s="156"/>
      <c r="F141" s="156"/>
      <c r="G141" s="156"/>
      <c r="H141" s="156"/>
      <c r="I141" s="156"/>
      <c r="J141" s="156"/>
      <c r="AK141" s="156"/>
      <c r="AL141" s="156"/>
      <c r="AM141" s="156"/>
      <c r="AN141" s="156"/>
      <c r="AO141" s="156"/>
      <c r="AP141" s="156"/>
      <c r="AQ141" s="156"/>
      <c r="AR141" s="156"/>
      <c r="AS141" s="156"/>
      <c r="AT141" s="156"/>
    </row>
    <row r="142" spans="1:46" ht="14.4" x14ac:dyDescent="0.3">
      <c r="A142" s="156"/>
      <c r="B142" s="156"/>
      <c r="C142" s="156"/>
      <c r="D142" s="156"/>
      <c r="E142" s="156"/>
      <c r="F142" s="156"/>
      <c r="G142" s="156"/>
      <c r="H142" s="156"/>
      <c r="I142" s="156"/>
      <c r="J142" s="156"/>
      <c r="AK142" s="156"/>
      <c r="AL142" s="156"/>
      <c r="AM142" s="156"/>
      <c r="AN142" s="156"/>
      <c r="AO142" s="156"/>
      <c r="AP142" s="156"/>
      <c r="AQ142" s="156"/>
      <c r="AR142" s="156"/>
      <c r="AS142" s="156"/>
      <c r="AT142" s="156"/>
    </row>
    <row r="143" spans="1:46" ht="14.4" x14ac:dyDescent="0.3">
      <c r="A143" s="156"/>
      <c r="B143" s="156"/>
      <c r="C143" s="156"/>
      <c r="D143" s="156"/>
      <c r="E143" s="156"/>
      <c r="F143" s="156"/>
      <c r="G143" s="156"/>
      <c r="H143" s="156"/>
      <c r="I143" s="156"/>
      <c r="J143" s="156"/>
      <c r="AK143" s="156"/>
      <c r="AL143" s="156"/>
      <c r="AM143" s="156"/>
      <c r="AN143" s="156"/>
      <c r="AO143" s="156"/>
      <c r="AP143" s="156"/>
      <c r="AQ143" s="156"/>
      <c r="AR143" s="156"/>
      <c r="AS143" s="156"/>
      <c r="AT143" s="156"/>
    </row>
    <row r="144" spans="1:46" ht="14.4" x14ac:dyDescent="0.3">
      <c r="A144" s="156"/>
      <c r="B144" s="156"/>
      <c r="C144" s="156"/>
      <c r="D144" s="156"/>
      <c r="E144" s="156"/>
      <c r="F144" s="156"/>
      <c r="G144" s="156"/>
      <c r="H144" s="156"/>
      <c r="I144" s="156"/>
      <c r="J144" s="156"/>
      <c r="AK144" s="156"/>
      <c r="AL144" s="156"/>
      <c r="AM144" s="156"/>
      <c r="AN144" s="156"/>
      <c r="AO144" s="156"/>
      <c r="AP144" s="156"/>
      <c r="AQ144" s="156"/>
      <c r="AR144" s="156"/>
      <c r="AS144" s="156"/>
      <c r="AT144" s="156"/>
    </row>
    <row r="145" spans="1:46" ht="14.4" x14ac:dyDescent="0.3">
      <c r="A145" s="156"/>
      <c r="B145" s="156"/>
      <c r="C145" s="156"/>
      <c r="D145" s="156"/>
      <c r="E145" s="156"/>
      <c r="F145" s="156"/>
      <c r="G145" s="156"/>
      <c r="H145" s="156"/>
      <c r="I145" s="156"/>
      <c r="J145" s="156"/>
      <c r="AK145" s="156"/>
      <c r="AL145" s="156"/>
      <c r="AM145" s="156"/>
      <c r="AN145" s="156"/>
      <c r="AO145" s="156"/>
      <c r="AP145" s="156"/>
      <c r="AQ145" s="156"/>
      <c r="AR145" s="156"/>
      <c r="AS145" s="156"/>
      <c r="AT145" s="156"/>
    </row>
    <row r="146" spans="1:46" ht="14.4" x14ac:dyDescent="0.3">
      <c r="A146" s="156"/>
      <c r="B146" s="156"/>
      <c r="C146" s="156"/>
      <c r="D146" s="156"/>
      <c r="E146" s="156"/>
      <c r="F146" s="156"/>
      <c r="G146" s="156"/>
      <c r="H146" s="156"/>
      <c r="I146" s="156"/>
      <c r="J146" s="156"/>
      <c r="AK146" s="156"/>
      <c r="AL146" s="156"/>
      <c r="AM146" s="156"/>
      <c r="AN146" s="156"/>
      <c r="AO146" s="156"/>
      <c r="AP146" s="156"/>
      <c r="AQ146" s="156"/>
      <c r="AR146" s="156"/>
      <c r="AS146" s="156"/>
      <c r="AT146" s="156"/>
    </row>
    <row r="147" spans="1:46" ht="14.4" x14ac:dyDescent="0.3">
      <c r="A147" s="156"/>
      <c r="B147" s="156"/>
      <c r="C147" s="156"/>
      <c r="D147" s="156"/>
      <c r="E147" s="156"/>
      <c r="F147" s="156"/>
      <c r="G147" s="156"/>
      <c r="H147" s="156"/>
      <c r="I147" s="156"/>
      <c r="J147" s="156"/>
      <c r="AK147" s="156"/>
      <c r="AL147" s="156"/>
      <c r="AM147" s="156"/>
      <c r="AN147" s="156"/>
      <c r="AO147" s="156"/>
      <c r="AP147" s="156"/>
      <c r="AQ147" s="156"/>
      <c r="AR147" s="156"/>
      <c r="AS147" s="156"/>
      <c r="AT147" s="156"/>
    </row>
    <row r="148" spans="1:46" ht="14.4" x14ac:dyDescent="0.3">
      <c r="A148" s="156"/>
      <c r="B148" s="156"/>
      <c r="C148" s="156"/>
      <c r="D148" s="156"/>
      <c r="E148" s="156"/>
      <c r="F148" s="156"/>
      <c r="G148" s="156"/>
      <c r="H148" s="156"/>
      <c r="I148" s="156"/>
      <c r="J148" s="156"/>
      <c r="AK148" s="156"/>
      <c r="AL148" s="156"/>
      <c r="AM148" s="156"/>
      <c r="AN148" s="156"/>
      <c r="AO148" s="156"/>
      <c r="AP148" s="156"/>
      <c r="AQ148" s="156"/>
      <c r="AR148" s="156"/>
      <c r="AS148" s="156"/>
      <c r="AT148" s="156"/>
    </row>
    <row r="149" spans="1:46" ht="14.4" x14ac:dyDescent="0.3">
      <c r="A149" s="156"/>
      <c r="B149" s="156"/>
      <c r="C149" s="156"/>
      <c r="D149" s="156"/>
      <c r="E149" s="156"/>
      <c r="F149" s="156"/>
      <c r="G149" s="156"/>
      <c r="H149" s="156"/>
      <c r="I149" s="156"/>
      <c r="J149" s="156"/>
      <c r="AK149" s="156"/>
      <c r="AL149" s="156"/>
      <c r="AM149" s="156"/>
      <c r="AN149" s="156"/>
      <c r="AO149" s="156"/>
      <c r="AP149" s="156"/>
      <c r="AQ149" s="156"/>
      <c r="AR149" s="156"/>
      <c r="AS149" s="156"/>
      <c r="AT149" s="156"/>
    </row>
    <row r="150" spans="1:46" ht="14.4" x14ac:dyDescent="0.3">
      <c r="A150" s="156"/>
      <c r="B150" s="156"/>
      <c r="C150" s="156"/>
      <c r="D150" s="156"/>
      <c r="E150" s="156"/>
      <c r="F150" s="156"/>
      <c r="G150" s="156"/>
      <c r="H150" s="156"/>
      <c r="I150" s="156"/>
      <c r="J150" s="156"/>
      <c r="AK150" s="156"/>
      <c r="AL150" s="156"/>
      <c r="AM150" s="156"/>
      <c r="AN150" s="156"/>
      <c r="AO150" s="156"/>
      <c r="AP150" s="156"/>
      <c r="AQ150" s="156"/>
      <c r="AR150" s="156"/>
      <c r="AS150" s="156"/>
      <c r="AT150" s="156"/>
    </row>
    <row r="151" spans="1:46" ht="14.4" x14ac:dyDescent="0.3">
      <c r="A151" s="156"/>
      <c r="B151" s="156"/>
      <c r="C151" s="156"/>
      <c r="D151" s="156"/>
      <c r="E151" s="156"/>
      <c r="F151" s="156"/>
      <c r="G151" s="156"/>
      <c r="H151" s="156"/>
      <c r="I151" s="156"/>
      <c r="J151" s="156"/>
      <c r="AK151" s="156"/>
      <c r="AL151" s="156"/>
      <c r="AM151" s="156"/>
      <c r="AN151" s="156"/>
      <c r="AO151" s="156"/>
      <c r="AP151" s="156"/>
      <c r="AQ151" s="156"/>
      <c r="AR151" s="156"/>
      <c r="AS151" s="156"/>
      <c r="AT151" s="156"/>
    </row>
    <row r="152" spans="1:46" ht="14.4" x14ac:dyDescent="0.3">
      <c r="A152" s="156"/>
      <c r="B152" s="156"/>
      <c r="C152" s="156"/>
      <c r="D152" s="156"/>
      <c r="E152" s="156"/>
      <c r="F152" s="156"/>
      <c r="G152" s="156"/>
      <c r="H152" s="156"/>
      <c r="I152" s="156"/>
      <c r="J152" s="156"/>
      <c r="AK152" s="156"/>
      <c r="AL152" s="156"/>
      <c r="AM152" s="156"/>
      <c r="AN152" s="156"/>
      <c r="AO152" s="156"/>
      <c r="AP152" s="156"/>
      <c r="AQ152" s="156"/>
      <c r="AR152" s="156"/>
      <c r="AS152" s="156"/>
      <c r="AT152" s="156"/>
    </row>
    <row r="153" spans="1:46" ht="14.4" x14ac:dyDescent="0.3">
      <c r="A153" s="156"/>
      <c r="B153" s="156"/>
      <c r="C153" s="156"/>
      <c r="D153" s="156"/>
      <c r="E153" s="156"/>
      <c r="F153" s="156"/>
      <c r="G153" s="156"/>
      <c r="H153" s="156"/>
      <c r="I153" s="156"/>
      <c r="J153" s="156"/>
      <c r="AK153" s="156"/>
      <c r="AL153" s="156"/>
      <c r="AM153" s="156"/>
      <c r="AN153" s="156"/>
      <c r="AO153" s="156"/>
      <c r="AP153" s="156"/>
      <c r="AQ153" s="156"/>
      <c r="AR153" s="156"/>
      <c r="AS153" s="156"/>
      <c r="AT153" s="156"/>
    </row>
    <row r="154" spans="1:46" ht="14.4" x14ac:dyDescent="0.3">
      <c r="A154" s="156"/>
      <c r="B154" s="156"/>
      <c r="C154" s="156"/>
      <c r="D154" s="156"/>
      <c r="E154" s="156"/>
      <c r="F154" s="156"/>
      <c r="G154" s="156"/>
      <c r="H154" s="156"/>
      <c r="I154" s="156"/>
      <c r="J154" s="156"/>
      <c r="AK154" s="156"/>
      <c r="AL154" s="156"/>
      <c r="AM154" s="156"/>
      <c r="AN154" s="156"/>
      <c r="AO154" s="156"/>
      <c r="AP154" s="156"/>
      <c r="AQ154" s="156"/>
      <c r="AR154" s="156"/>
      <c r="AS154" s="156"/>
      <c r="AT154" s="156"/>
    </row>
    <row r="155" spans="1:46" ht="14.4" x14ac:dyDescent="0.3">
      <c r="A155" s="156"/>
      <c r="B155" s="156"/>
      <c r="C155" s="156"/>
      <c r="D155" s="156"/>
      <c r="E155" s="156"/>
      <c r="F155" s="156"/>
      <c r="G155" s="156"/>
      <c r="H155" s="156"/>
      <c r="I155" s="156"/>
      <c r="J155" s="156"/>
      <c r="AK155" s="156"/>
      <c r="AL155" s="156"/>
      <c r="AM155" s="156"/>
      <c r="AN155" s="156"/>
      <c r="AO155" s="156"/>
      <c r="AP155" s="156"/>
      <c r="AQ155" s="156"/>
      <c r="AR155" s="156"/>
      <c r="AS155" s="156"/>
      <c r="AT155" s="156"/>
    </row>
    <row r="156" spans="1:46" ht="14.4" x14ac:dyDescent="0.3">
      <c r="A156" s="156"/>
      <c r="B156" s="156"/>
      <c r="C156" s="156"/>
      <c r="D156" s="156"/>
      <c r="E156" s="156"/>
      <c r="F156" s="156"/>
      <c r="G156" s="156"/>
      <c r="H156" s="156"/>
      <c r="I156" s="156"/>
      <c r="J156" s="156"/>
      <c r="AK156" s="156"/>
      <c r="AL156" s="156"/>
      <c r="AM156" s="156"/>
      <c r="AN156" s="156"/>
      <c r="AO156" s="156"/>
      <c r="AP156" s="156"/>
      <c r="AQ156" s="156"/>
      <c r="AR156" s="156"/>
      <c r="AS156" s="156"/>
      <c r="AT156" s="156"/>
    </row>
    <row r="157" spans="1:46" ht="14.4" x14ac:dyDescent="0.3">
      <c r="A157" s="156"/>
      <c r="B157" s="156"/>
      <c r="C157" s="156"/>
      <c r="D157" s="156"/>
      <c r="E157" s="156"/>
      <c r="F157" s="156"/>
      <c r="G157" s="156"/>
      <c r="H157" s="156"/>
      <c r="I157" s="156"/>
      <c r="J157" s="156"/>
      <c r="AK157" s="156"/>
      <c r="AL157" s="156"/>
      <c r="AM157" s="156"/>
      <c r="AN157" s="156"/>
      <c r="AO157" s="156"/>
      <c r="AP157" s="156"/>
      <c r="AQ157" s="156"/>
      <c r="AR157" s="156"/>
      <c r="AS157" s="156"/>
      <c r="AT157" s="156"/>
    </row>
    <row r="158" spans="1:46" ht="14.4" x14ac:dyDescent="0.3">
      <c r="A158" s="156"/>
      <c r="B158" s="156"/>
      <c r="C158" s="156"/>
      <c r="D158" s="156"/>
      <c r="E158" s="156"/>
      <c r="F158" s="156"/>
      <c r="G158" s="156"/>
      <c r="H158" s="156"/>
      <c r="I158" s="156"/>
      <c r="J158" s="156"/>
      <c r="AK158" s="156"/>
      <c r="AL158" s="156"/>
      <c r="AM158" s="156"/>
      <c r="AN158" s="156"/>
      <c r="AO158" s="156"/>
      <c r="AP158" s="156"/>
      <c r="AQ158" s="156"/>
      <c r="AR158" s="156"/>
      <c r="AS158" s="156"/>
      <c r="AT158" s="156"/>
    </row>
    <row r="159" spans="1:46" ht="14.4" x14ac:dyDescent="0.3">
      <c r="A159" s="156"/>
      <c r="B159" s="156"/>
      <c r="C159" s="156"/>
      <c r="D159" s="156"/>
      <c r="E159" s="156"/>
      <c r="F159" s="156"/>
      <c r="G159" s="156"/>
      <c r="H159" s="156"/>
      <c r="I159" s="156"/>
      <c r="J159" s="156"/>
      <c r="AK159" s="156"/>
      <c r="AL159" s="156"/>
      <c r="AM159" s="156"/>
      <c r="AN159" s="156"/>
      <c r="AO159" s="156"/>
      <c r="AP159" s="156"/>
      <c r="AQ159" s="156"/>
      <c r="AR159" s="156"/>
      <c r="AS159" s="156"/>
      <c r="AT159" s="156"/>
    </row>
    <row r="160" spans="1:46" ht="14.4" x14ac:dyDescent="0.3">
      <c r="A160" s="156"/>
      <c r="B160" s="156"/>
      <c r="C160" s="156"/>
      <c r="D160" s="156"/>
      <c r="E160" s="156"/>
      <c r="F160" s="156"/>
      <c r="G160" s="156"/>
      <c r="H160" s="156"/>
      <c r="I160" s="156"/>
      <c r="J160" s="156"/>
      <c r="AK160" s="156"/>
      <c r="AL160" s="156"/>
      <c r="AM160" s="156"/>
      <c r="AN160" s="156"/>
      <c r="AO160" s="156"/>
      <c r="AP160" s="156"/>
      <c r="AQ160" s="156"/>
      <c r="AR160" s="156"/>
      <c r="AS160" s="156"/>
      <c r="AT160" s="156"/>
    </row>
    <row r="161" spans="1:46" ht="14.4" x14ac:dyDescent="0.3">
      <c r="A161" s="156"/>
      <c r="B161" s="156"/>
      <c r="C161" s="156"/>
      <c r="D161" s="156"/>
      <c r="E161" s="156"/>
      <c r="F161" s="156"/>
      <c r="G161" s="156"/>
      <c r="H161" s="156"/>
      <c r="I161" s="156"/>
      <c r="J161" s="156"/>
      <c r="AK161" s="156"/>
      <c r="AL161" s="156"/>
      <c r="AM161" s="156"/>
      <c r="AN161" s="156"/>
      <c r="AO161" s="156"/>
      <c r="AP161" s="156"/>
      <c r="AQ161" s="156"/>
      <c r="AR161" s="156"/>
      <c r="AS161" s="156"/>
      <c r="AT161" s="156"/>
    </row>
    <row r="162" spans="1:46" ht="14.4" x14ac:dyDescent="0.3">
      <c r="A162" s="156"/>
      <c r="B162" s="156"/>
      <c r="C162" s="156"/>
      <c r="D162" s="156"/>
      <c r="E162" s="156"/>
      <c r="F162" s="156"/>
      <c r="G162" s="156"/>
      <c r="H162" s="156"/>
      <c r="I162" s="156"/>
      <c r="J162" s="156"/>
      <c r="AK162" s="156"/>
      <c r="AL162" s="156"/>
      <c r="AM162" s="156"/>
      <c r="AN162" s="156"/>
      <c r="AO162" s="156"/>
      <c r="AP162" s="156"/>
      <c r="AQ162" s="156"/>
      <c r="AR162" s="156"/>
      <c r="AS162" s="156"/>
      <c r="AT162" s="156"/>
    </row>
    <row r="163" spans="1:46" ht="14.4" x14ac:dyDescent="0.3">
      <c r="A163" s="156"/>
      <c r="B163" s="156"/>
      <c r="C163" s="156"/>
      <c r="D163" s="156"/>
      <c r="E163" s="156"/>
      <c r="F163" s="156"/>
      <c r="G163" s="156"/>
      <c r="H163" s="156"/>
      <c r="I163" s="156"/>
      <c r="J163" s="156"/>
      <c r="AK163" s="156"/>
      <c r="AL163" s="156"/>
      <c r="AM163" s="156"/>
      <c r="AN163" s="156"/>
      <c r="AO163" s="156"/>
      <c r="AP163" s="156"/>
      <c r="AQ163" s="156"/>
      <c r="AR163" s="156"/>
      <c r="AS163" s="156"/>
      <c r="AT163" s="156"/>
    </row>
    <row r="164" spans="1:46" ht="14.4" x14ac:dyDescent="0.3">
      <c r="A164" s="156"/>
      <c r="B164" s="156"/>
      <c r="C164" s="156"/>
      <c r="D164" s="156"/>
      <c r="E164" s="156"/>
      <c r="F164" s="156"/>
      <c r="G164" s="156"/>
      <c r="H164" s="156"/>
      <c r="I164" s="156"/>
      <c r="J164" s="156"/>
      <c r="AK164" s="156"/>
      <c r="AL164" s="156"/>
      <c r="AM164" s="156"/>
      <c r="AN164" s="156"/>
      <c r="AO164" s="156"/>
      <c r="AP164" s="156"/>
      <c r="AQ164" s="156"/>
      <c r="AR164" s="156"/>
      <c r="AS164" s="156"/>
      <c r="AT164" s="156"/>
    </row>
    <row r="165" spans="1:46" ht="14.4" x14ac:dyDescent="0.3">
      <c r="A165" s="156"/>
      <c r="B165" s="156"/>
      <c r="C165" s="156"/>
      <c r="D165" s="156"/>
      <c r="E165" s="156"/>
      <c r="F165" s="156"/>
      <c r="G165" s="156"/>
      <c r="H165" s="156"/>
      <c r="I165" s="156"/>
      <c r="J165" s="156"/>
      <c r="AK165" s="156"/>
      <c r="AL165" s="156"/>
      <c r="AM165" s="156"/>
      <c r="AN165" s="156"/>
      <c r="AO165" s="156"/>
      <c r="AP165" s="156"/>
      <c r="AQ165" s="156"/>
      <c r="AR165" s="156"/>
      <c r="AS165" s="156"/>
      <c r="AT165" s="156"/>
    </row>
    <row r="166" spans="1:46" ht="14.4" x14ac:dyDescent="0.3">
      <c r="A166" s="156"/>
      <c r="B166" s="156"/>
      <c r="C166" s="156"/>
      <c r="D166" s="156"/>
      <c r="E166" s="156"/>
      <c r="F166" s="156"/>
      <c r="G166" s="156"/>
      <c r="H166" s="156"/>
      <c r="I166" s="156"/>
      <c r="J166" s="156"/>
      <c r="AK166" s="156"/>
      <c r="AL166" s="156"/>
      <c r="AM166" s="156"/>
      <c r="AN166" s="156"/>
      <c r="AO166" s="156"/>
      <c r="AP166" s="156"/>
      <c r="AQ166" s="156"/>
      <c r="AR166" s="156"/>
      <c r="AS166" s="156"/>
      <c r="AT166" s="156"/>
    </row>
    <row r="167" spans="1:46" ht="14.4" x14ac:dyDescent="0.3">
      <c r="A167" s="156"/>
      <c r="B167" s="156"/>
      <c r="C167" s="156"/>
      <c r="D167" s="156"/>
      <c r="E167" s="156"/>
      <c r="F167" s="156"/>
      <c r="G167" s="156"/>
      <c r="H167" s="156"/>
      <c r="I167" s="156"/>
      <c r="J167" s="156"/>
      <c r="AK167" s="156"/>
      <c r="AL167" s="156"/>
      <c r="AM167" s="156"/>
      <c r="AN167" s="156"/>
      <c r="AO167" s="156"/>
      <c r="AP167" s="156"/>
      <c r="AQ167" s="156"/>
      <c r="AR167" s="156"/>
      <c r="AS167" s="156"/>
      <c r="AT167" s="156"/>
    </row>
    <row r="168" spans="1:46" ht="14.4" x14ac:dyDescent="0.3">
      <c r="A168" s="156"/>
      <c r="B168" s="156"/>
      <c r="C168" s="156"/>
      <c r="D168" s="156"/>
      <c r="E168" s="156"/>
      <c r="F168" s="156"/>
      <c r="G168" s="156"/>
      <c r="H168" s="156"/>
      <c r="I168" s="156"/>
      <c r="J168" s="156"/>
      <c r="AK168" s="156"/>
      <c r="AL168" s="156"/>
      <c r="AM168" s="156"/>
      <c r="AN168" s="156"/>
      <c r="AO168" s="156"/>
      <c r="AP168" s="156"/>
      <c r="AQ168" s="156"/>
      <c r="AR168" s="156"/>
      <c r="AS168" s="156"/>
      <c r="AT168" s="156"/>
    </row>
    <row r="169" spans="1:46" ht="14.4" x14ac:dyDescent="0.3">
      <c r="A169" s="156"/>
      <c r="B169" s="156"/>
      <c r="C169" s="156"/>
      <c r="D169" s="156"/>
      <c r="E169" s="156"/>
      <c r="F169" s="156"/>
      <c r="G169" s="156"/>
      <c r="H169" s="156"/>
      <c r="I169" s="156"/>
      <c r="J169" s="156"/>
      <c r="AK169" s="156"/>
      <c r="AL169" s="156"/>
      <c r="AM169" s="156"/>
      <c r="AN169" s="156"/>
      <c r="AO169" s="156"/>
      <c r="AP169" s="156"/>
      <c r="AQ169" s="156"/>
      <c r="AR169" s="156"/>
      <c r="AS169" s="156"/>
      <c r="AT169" s="156"/>
    </row>
    <row r="170" spans="1:46" ht="14.4" x14ac:dyDescent="0.3">
      <c r="A170" s="156"/>
      <c r="B170" s="156"/>
      <c r="C170" s="156"/>
      <c r="D170" s="156"/>
      <c r="E170" s="156"/>
      <c r="F170" s="156"/>
      <c r="G170" s="156"/>
      <c r="H170" s="156"/>
      <c r="I170" s="156"/>
      <c r="J170" s="156"/>
      <c r="AK170" s="156"/>
      <c r="AL170" s="156"/>
      <c r="AM170" s="156"/>
      <c r="AN170" s="156"/>
      <c r="AO170" s="156"/>
      <c r="AP170" s="156"/>
      <c r="AQ170" s="156"/>
      <c r="AR170" s="156"/>
      <c r="AS170" s="156"/>
      <c r="AT170" s="156"/>
    </row>
    <row r="171" spans="1:46" ht="14.4" x14ac:dyDescent="0.3">
      <c r="A171" s="156"/>
      <c r="B171" s="156"/>
      <c r="C171" s="156"/>
      <c r="D171" s="156"/>
      <c r="E171" s="156"/>
      <c r="F171" s="156"/>
      <c r="G171" s="156"/>
      <c r="H171" s="156"/>
      <c r="I171" s="156"/>
      <c r="J171" s="156"/>
    </row>
    <row r="172" spans="1:46" ht="14.4" x14ac:dyDescent="0.3">
      <c r="A172" s="156"/>
      <c r="B172" s="156"/>
      <c r="C172" s="156"/>
      <c r="D172" s="156"/>
      <c r="E172" s="156"/>
      <c r="F172" s="156"/>
      <c r="G172" s="156"/>
      <c r="H172" s="156"/>
      <c r="I172" s="156"/>
      <c r="J172" s="156"/>
    </row>
    <row r="173" spans="1:46" ht="14.4" x14ac:dyDescent="0.3">
      <c r="A173" s="156"/>
      <c r="B173" s="156"/>
      <c r="C173" s="156"/>
      <c r="D173" s="156"/>
      <c r="E173" s="156"/>
      <c r="F173" s="156"/>
      <c r="G173" s="156"/>
      <c r="H173" s="156"/>
      <c r="I173" s="156"/>
      <c r="J173" s="156"/>
    </row>
    <row r="174" spans="1:46" ht="14.4" x14ac:dyDescent="0.3">
      <c r="A174" s="156"/>
      <c r="B174" s="156"/>
      <c r="C174" s="156"/>
      <c r="D174" s="156"/>
      <c r="E174" s="156"/>
      <c r="F174" s="156"/>
      <c r="G174" s="156"/>
      <c r="H174" s="156"/>
      <c r="I174" s="156"/>
      <c r="J174" s="156"/>
    </row>
    <row r="175" spans="1:46" ht="14.4" x14ac:dyDescent="0.3">
      <c r="A175" s="156"/>
      <c r="B175" s="156"/>
      <c r="C175" s="156"/>
      <c r="D175" s="156"/>
      <c r="E175" s="156"/>
      <c r="F175" s="156"/>
      <c r="G175" s="156"/>
      <c r="H175" s="156"/>
      <c r="I175" s="156"/>
      <c r="J175" s="156"/>
    </row>
    <row r="176" spans="1:46" ht="14.4" x14ac:dyDescent="0.3">
      <c r="A176" s="156"/>
      <c r="B176" s="156"/>
      <c r="C176" s="156"/>
      <c r="D176" s="156"/>
      <c r="E176" s="156"/>
      <c r="F176" s="156"/>
      <c r="G176" s="156"/>
      <c r="H176" s="156"/>
      <c r="I176" s="156"/>
      <c r="J176" s="156"/>
    </row>
    <row r="177" spans="1:10" ht="14.4" x14ac:dyDescent="0.3">
      <c r="A177" s="156"/>
      <c r="B177" s="156"/>
      <c r="C177" s="156"/>
      <c r="D177" s="156"/>
      <c r="E177" s="156"/>
      <c r="F177" s="156"/>
      <c r="G177" s="156"/>
      <c r="H177" s="156"/>
      <c r="I177" s="156"/>
      <c r="J177" s="156"/>
    </row>
    <row r="178" spans="1:10" ht="14.4" x14ac:dyDescent="0.3">
      <c r="A178" s="156"/>
      <c r="B178" s="156"/>
      <c r="C178" s="156"/>
      <c r="D178" s="156"/>
      <c r="E178" s="156"/>
      <c r="F178" s="156"/>
      <c r="G178" s="156"/>
      <c r="H178" s="156"/>
      <c r="I178" s="156"/>
      <c r="J178" s="156"/>
    </row>
    <row r="179" spans="1:10" ht="14.4" x14ac:dyDescent="0.3">
      <c r="A179" s="156"/>
      <c r="B179" s="156"/>
      <c r="C179" s="156"/>
      <c r="D179" s="156"/>
      <c r="E179" s="156"/>
      <c r="F179" s="156"/>
      <c r="G179" s="156"/>
      <c r="H179" s="156"/>
      <c r="I179" s="156"/>
      <c r="J179" s="156"/>
    </row>
    <row r="180" spans="1:10" ht="14.4" x14ac:dyDescent="0.3">
      <c r="A180" s="156"/>
      <c r="B180" s="156"/>
      <c r="C180" s="156"/>
      <c r="D180" s="156"/>
      <c r="E180" s="156"/>
      <c r="F180" s="156"/>
      <c r="G180" s="156"/>
      <c r="H180" s="156"/>
      <c r="I180" s="156"/>
      <c r="J180" s="156"/>
    </row>
    <row r="181" spans="1:10" ht="14.4" x14ac:dyDescent="0.3">
      <c r="A181" s="156"/>
      <c r="B181" s="156"/>
      <c r="C181" s="156"/>
      <c r="D181" s="156"/>
      <c r="E181" s="156"/>
      <c r="F181" s="156"/>
      <c r="G181" s="156"/>
      <c r="H181" s="156"/>
      <c r="I181" s="156"/>
      <c r="J181" s="156"/>
    </row>
    <row r="182" spans="1:10" ht="14.4" x14ac:dyDescent="0.3">
      <c r="A182" s="156"/>
      <c r="B182" s="156"/>
      <c r="C182" s="156"/>
      <c r="D182" s="156"/>
      <c r="E182" s="156"/>
      <c r="F182" s="156"/>
      <c r="G182" s="156"/>
      <c r="H182" s="156"/>
      <c r="I182" s="156"/>
      <c r="J182" s="156"/>
    </row>
    <row r="183" spans="1:10" ht="14.4" x14ac:dyDescent="0.3">
      <c r="A183" s="156"/>
      <c r="B183" s="156"/>
      <c r="C183" s="156"/>
      <c r="D183" s="156"/>
      <c r="E183" s="156"/>
      <c r="F183" s="156"/>
      <c r="G183" s="156"/>
      <c r="H183" s="156"/>
      <c r="I183" s="156"/>
      <c r="J183" s="156"/>
    </row>
    <row r="184" spans="1:10" ht="14.4" x14ac:dyDescent="0.3">
      <c r="A184" s="156"/>
      <c r="B184" s="156"/>
      <c r="C184" s="156"/>
      <c r="D184" s="156"/>
      <c r="E184" s="156"/>
      <c r="F184" s="156"/>
      <c r="G184" s="156"/>
      <c r="H184" s="156"/>
      <c r="I184" s="156"/>
      <c r="J184" s="156"/>
    </row>
    <row r="185" spans="1:10" ht="14.4" x14ac:dyDescent="0.3">
      <c r="A185" s="156"/>
      <c r="B185" s="156"/>
      <c r="C185" s="156"/>
      <c r="D185" s="156"/>
      <c r="E185" s="156"/>
      <c r="F185" s="156"/>
      <c r="G185" s="156"/>
      <c r="H185" s="156"/>
      <c r="I185" s="156"/>
      <c r="J185" s="156"/>
    </row>
    <row r="186" spans="1:10" ht="14.4" x14ac:dyDescent="0.3">
      <c r="A186" s="156"/>
      <c r="B186" s="156"/>
      <c r="C186" s="156"/>
      <c r="D186" s="156"/>
      <c r="E186" s="156"/>
      <c r="F186" s="156"/>
      <c r="G186" s="156"/>
      <c r="H186" s="156"/>
      <c r="I186" s="156"/>
      <c r="J186" s="156"/>
    </row>
    <row r="187" spans="1:10" ht="14.4" x14ac:dyDescent="0.3">
      <c r="A187" s="156"/>
      <c r="B187" s="156"/>
      <c r="C187" s="156"/>
      <c r="D187" s="156"/>
      <c r="E187" s="156"/>
      <c r="F187" s="156"/>
      <c r="G187" s="156"/>
      <c r="H187" s="156"/>
      <c r="I187" s="156"/>
      <c r="J187" s="156"/>
    </row>
    <row r="188" spans="1:10" ht="14.4" x14ac:dyDescent="0.3">
      <c r="A188" s="156"/>
      <c r="B188" s="156"/>
      <c r="C188" s="156"/>
      <c r="D188" s="156"/>
      <c r="E188" s="156"/>
      <c r="F188" s="156"/>
      <c r="G188" s="156"/>
      <c r="H188" s="156"/>
      <c r="I188" s="156"/>
      <c r="J188" s="156"/>
    </row>
    <row r="189" spans="1:10" ht="14.4" x14ac:dyDescent="0.3">
      <c r="A189" s="156"/>
      <c r="B189" s="156"/>
      <c r="C189" s="156"/>
      <c r="D189" s="156"/>
      <c r="E189" s="156"/>
      <c r="F189" s="156"/>
      <c r="G189" s="156"/>
      <c r="H189" s="156"/>
      <c r="I189" s="156"/>
      <c r="J189" s="156"/>
    </row>
    <row r="190" spans="1:10" ht="14.4" x14ac:dyDescent="0.3">
      <c r="A190" s="156"/>
      <c r="B190" s="156"/>
      <c r="C190" s="156"/>
      <c r="D190" s="156"/>
      <c r="E190" s="156"/>
      <c r="F190" s="156"/>
      <c r="G190" s="156"/>
      <c r="H190" s="156"/>
      <c r="I190" s="156"/>
      <c r="J190" s="156"/>
    </row>
    <row r="191" spans="1:10" ht="14.4" x14ac:dyDescent="0.3">
      <c r="A191" s="156"/>
      <c r="B191" s="156"/>
      <c r="C191" s="156"/>
      <c r="D191" s="156"/>
      <c r="E191" s="156"/>
      <c r="F191" s="156"/>
      <c r="G191" s="156"/>
      <c r="H191" s="156"/>
      <c r="I191" s="156"/>
      <c r="J191" s="156"/>
    </row>
    <row r="192" spans="1:10" ht="14.4" x14ac:dyDescent="0.3">
      <c r="A192" s="156"/>
      <c r="B192" s="156"/>
      <c r="C192" s="156"/>
      <c r="D192" s="156"/>
      <c r="E192" s="156"/>
      <c r="F192" s="156"/>
      <c r="G192" s="156"/>
      <c r="H192" s="156"/>
      <c r="I192" s="156"/>
      <c r="J192" s="156"/>
    </row>
    <row r="193" spans="1:10" ht="14.4" x14ac:dyDescent="0.3">
      <c r="A193" s="156"/>
      <c r="B193" s="156"/>
      <c r="C193" s="156"/>
      <c r="D193" s="156"/>
      <c r="E193" s="156"/>
      <c r="F193" s="156"/>
      <c r="G193" s="156"/>
      <c r="H193" s="156"/>
      <c r="I193" s="156"/>
      <c r="J193" s="156"/>
    </row>
    <row r="194" spans="1:10" ht="14.4" x14ac:dyDescent="0.3">
      <c r="A194" s="156"/>
      <c r="B194" s="156"/>
      <c r="C194" s="156"/>
      <c r="D194" s="156"/>
      <c r="E194" s="156"/>
      <c r="F194" s="156"/>
      <c r="G194" s="156"/>
      <c r="H194" s="156"/>
      <c r="I194" s="156"/>
      <c r="J194" s="156"/>
    </row>
    <row r="195" spans="1:10" ht="14.4" x14ac:dyDescent="0.3">
      <c r="A195" s="156"/>
      <c r="B195" s="156"/>
      <c r="C195" s="156"/>
      <c r="D195" s="156"/>
      <c r="E195" s="156"/>
      <c r="F195" s="156"/>
      <c r="G195" s="156"/>
      <c r="H195" s="156"/>
      <c r="I195" s="156"/>
      <c r="J195" s="156"/>
    </row>
    <row r="196" spans="1:10" ht="14.4" x14ac:dyDescent="0.3">
      <c r="A196" s="156"/>
      <c r="B196" s="156"/>
      <c r="C196" s="156"/>
      <c r="D196" s="156"/>
      <c r="E196" s="156"/>
      <c r="F196" s="156"/>
      <c r="G196" s="156"/>
      <c r="H196" s="156"/>
      <c r="I196" s="156"/>
      <c r="J196" s="156"/>
    </row>
    <row r="197" spans="1:10" ht="14.4" x14ac:dyDescent="0.3">
      <c r="A197" s="156"/>
      <c r="B197" s="156"/>
      <c r="C197" s="156"/>
      <c r="D197" s="156"/>
      <c r="E197" s="156"/>
      <c r="F197" s="156"/>
      <c r="G197" s="156"/>
      <c r="H197" s="156"/>
      <c r="I197" s="156"/>
      <c r="J197" s="156"/>
    </row>
    <row r="198" spans="1:10" ht="14.4" x14ac:dyDescent="0.3">
      <c r="A198" s="156"/>
      <c r="B198" s="156"/>
      <c r="C198" s="156"/>
      <c r="D198" s="156"/>
      <c r="E198" s="156"/>
      <c r="F198" s="156"/>
      <c r="G198" s="156"/>
      <c r="H198" s="156"/>
      <c r="I198" s="156"/>
      <c r="J198" s="156"/>
    </row>
  </sheetData>
  <pageMargins left="0.7" right="0.7" top="0.75" bottom="0.75" header="0.3" footer="0.3"/>
  <pageSetup scale="13" orientation="portrait" r:id="rId1"/>
  <customProperties>
    <customPr name="EpmWorksheetKeyString_GU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7"/>
  <sheetViews>
    <sheetView zoomScale="85" zoomScaleNormal="85" workbookViewId="0">
      <pane xSplit="2" ySplit="11" topLeftCell="C12" activePane="bottomRight" state="frozen"/>
      <selection activeCell="B41" sqref="B41"/>
      <selection pane="topRight" activeCell="B41" sqref="B41"/>
      <selection pane="bottomLeft" activeCell="B41" sqref="B41"/>
      <selection pane="bottomRight" activeCell="D47" sqref="D47"/>
    </sheetView>
  </sheetViews>
  <sheetFormatPr defaultColWidth="9.109375" defaultRowHeight="13.8" x14ac:dyDescent="0.25"/>
  <cols>
    <col min="1" max="1" width="4.5546875" style="14" bestFit="1" customWidth="1"/>
    <col min="2" max="2" width="52.5546875" style="14" customWidth="1"/>
    <col min="3" max="3" width="17.33203125" style="14" bestFit="1" customWidth="1"/>
    <col min="4" max="4" width="15.33203125" style="14" customWidth="1"/>
    <col min="5" max="5" width="17" style="14" customWidth="1"/>
    <col min="6" max="6" width="15.33203125" style="14" customWidth="1"/>
    <col min="7" max="7" width="17" style="14" customWidth="1"/>
    <col min="8" max="8" width="15.33203125" style="14" customWidth="1"/>
    <col min="9" max="9" width="17.109375" style="14" customWidth="1"/>
    <col min="10" max="16384" width="9.109375" style="14"/>
  </cols>
  <sheetData>
    <row r="1" spans="1:9" x14ac:dyDescent="0.25">
      <c r="A1" s="213" t="s">
        <v>45</v>
      </c>
      <c r="C1" s="213"/>
    </row>
    <row r="2" spans="1:9" x14ac:dyDescent="0.25">
      <c r="A2" s="213" t="s">
        <v>267</v>
      </c>
      <c r="C2" s="213"/>
      <c r="H2" s="25" t="s">
        <v>792</v>
      </c>
      <c r="I2" s="27"/>
    </row>
    <row r="3" spans="1:9" x14ac:dyDescent="0.25">
      <c r="A3" s="213" t="s">
        <v>268</v>
      </c>
      <c r="C3" s="213"/>
    </row>
    <row r="4" spans="1:9" x14ac:dyDescent="0.25">
      <c r="A4" s="213" t="str">
        <f>CASE_E</f>
        <v>2019 GENERAL RATE CASE</v>
      </c>
      <c r="C4" s="213"/>
    </row>
    <row r="5" spans="1:9" x14ac:dyDescent="0.25">
      <c r="A5" s="213" t="str">
        <f>TESTYEAR_E</f>
        <v>12 MONTHS ENDED DECEMBER 31, 2018</v>
      </c>
      <c r="C5" s="213"/>
    </row>
    <row r="6" spans="1:9" x14ac:dyDescent="0.25">
      <c r="C6" s="15"/>
      <c r="D6" s="15"/>
      <c r="E6" s="15"/>
      <c r="F6" s="15"/>
    </row>
    <row r="9" spans="1:9" x14ac:dyDescent="0.25">
      <c r="C9" s="289" t="s">
        <v>40</v>
      </c>
      <c r="D9" s="289"/>
      <c r="E9" s="289" t="s">
        <v>105</v>
      </c>
      <c r="F9" s="289"/>
      <c r="G9" s="289" t="s">
        <v>67</v>
      </c>
      <c r="H9" s="289" t="s">
        <v>564</v>
      </c>
      <c r="I9" s="289" t="s">
        <v>68</v>
      </c>
    </row>
    <row r="10" spans="1:9" ht="13.5" customHeight="1" x14ac:dyDescent="0.25">
      <c r="A10" s="289" t="s">
        <v>43</v>
      </c>
      <c r="B10" s="289" t="s">
        <v>73</v>
      </c>
      <c r="C10" s="289" t="s">
        <v>41</v>
      </c>
      <c r="D10" s="289" t="s">
        <v>248</v>
      </c>
      <c r="E10" s="289" t="s">
        <v>41</v>
      </c>
      <c r="F10" s="289" t="s">
        <v>93</v>
      </c>
      <c r="G10" s="289" t="s">
        <v>41</v>
      </c>
      <c r="H10" s="289" t="s">
        <v>565</v>
      </c>
      <c r="I10" s="289" t="s">
        <v>70</v>
      </c>
    </row>
    <row r="11" spans="1:9" x14ac:dyDescent="0.25">
      <c r="A11" s="289" t="s">
        <v>44</v>
      </c>
      <c r="C11" s="289" t="s">
        <v>42</v>
      </c>
      <c r="D11" s="289" t="s">
        <v>69</v>
      </c>
      <c r="E11" s="289" t="s">
        <v>71</v>
      </c>
      <c r="F11" s="289" t="s">
        <v>69</v>
      </c>
      <c r="G11" s="282" t="s">
        <v>71</v>
      </c>
      <c r="H11" s="282" t="s">
        <v>566</v>
      </c>
      <c r="I11" s="282" t="str">
        <f>IF(H18&lt;0,"DECREASE","INCREASE")</f>
        <v>INCREASE</v>
      </c>
    </row>
    <row r="12" spans="1:9" x14ac:dyDescent="0.25">
      <c r="C12" s="7" t="s">
        <v>269</v>
      </c>
      <c r="D12" s="7" t="s">
        <v>270</v>
      </c>
      <c r="E12" s="7" t="s">
        <v>488</v>
      </c>
      <c r="F12" s="7" t="s">
        <v>271</v>
      </c>
      <c r="G12" s="7" t="s">
        <v>489</v>
      </c>
      <c r="H12" s="7" t="s">
        <v>273</v>
      </c>
      <c r="I12" s="7" t="s">
        <v>490</v>
      </c>
    </row>
    <row r="13" spans="1:9" x14ac:dyDescent="0.25">
      <c r="A13" s="266">
        <v>1</v>
      </c>
      <c r="B13" s="316" t="s">
        <v>0</v>
      </c>
    </row>
    <row r="14" spans="1:9" x14ac:dyDescent="0.25">
      <c r="A14" s="266">
        <f t="shared" ref="A14:A45" si="0">A13+1</f>
        <v>2</v>
      </c>
      <c r="B14" s="316" t="s">
        <v>1</v>
      </c>
      <c r="C14" s="417">
        <f>+'Detailed Summary'!C14</f>
        <v>2165233766.8899999</v>
      </c>
      <c r="D14" s="417">
        <f>+'Detailed Summary'!AG14</f>
        <v>-158587776.62876797</v>
      </c>
      <c r="E14" s="417">
        <f>SUM(C14:D14)</f>
        <v>2006645990.2612319</v>
      </c>
      <c r="F14" s="417">
        <f>+'Detailed Summary'!BK14</f>
        <v>-6392695.4800000004</v>
      </c>
      <c r="G14" s="417">
        <f>SUM(E14:F14)</f>
        <v>2000253294.7812319</v>
      </c>
      <c r="H14" s="417">
        <f>'COC, Def, ConvF'!C21-H15</f>
        <v>127374186.70079063</v>
      </c>
      <c r="I14" s="417">
        <f>SUM(G14:H14)</f>
        <v>2127627481.4820225</v>
      </c>
    </row>
    <row r="15" spans="1:9" x14ac:dyDescent="0.25">
      <c r="A15" s="266">
        <f t="shared" si="0"/>
        <v>3</v>
      </c>
      <c r="B15" s="316" t="s">
        <v>2</v>
      </c>
      <c r="C15" s="439">
        <f>+'Detailed Summary'!C15</f>
        <v>340431.51999999897</v>
      </c>
      <c r="D15" s="439">
        <f>+'Detailed Summary'!AG15</f>
        <v>-12104.359999999999</v>
      </c>
      <c r="E15" s="439">
        <f>SUM(C15:D15)</f>
        <v>328327.15999999898</v>
      </c>
      <c r="F15" s="439">
        <f>+'Detailed Summary'!BK15</f>
        <v>3986</v>
      </c>
      <c r="G15" s="439">
        <f>SUM(E15:F15)</f>
        <v>332313.15999999898</v>
      </c>
      <c r="H15" s="439">
        <f>'COC, Def, ConvF'!C40</f>
        <v>362217.29920936446</v>
      </c>
      <c r="I15" s="439">
        <f>SUM(G15:H15)</f>
        <v>694530.45920936344</v>
      </c>
    </row>
    <row r="16" spans="1:9" x14ac:dyDescent="0.25">
      <c r="A16" s="266">
        <f t="shared" si="0"/>
        <v>4</v>
      </c>
      <c r="B16" s="316" t="s">
        <v>3</v>
      </c>
      <c r="C16" s="439">
        <f>+'Detailed Summary'!C16</f>
        <v>155333122.24000001</v>
      </c>
      <c r="D16" s="439">
        <f>+'Detailed Summary'!AG16</f>
        <v>0</v>
      </c>
      <c r="E16" s="439">
        <f>SUM(C16:D16)</f>
        <v>155333122.24000001</v>
      </c>
      <c r="F16" s="439">
        <f>+'Detailed Summary'!BK16</f>
        <v>-146289483.01756001</v>
      </c>
      <c r="G16" s="439">
        <f>SUM(E16:F16)</f>
        <v>9043639.2224400043</v>
      </c>
      <c r="H16" s="439"/>
      <c r="I16" s="439">
        <f>SUM(G16:H16)</f>
        <v>9043639.2224400043</v>
      </c>
    </row>
    <row r="17" spans="1:9" x14ac:dyDescent="0.25">
      <c r="A17" s="266">
        <f t="shared" si="0"/>
        <v>5</v>
      </c>
      <c r="B17" s="316" t="s">
        <v>4</v>
      </c>
      <c r="C17" s="439">
        <f>+'Detailed Summary'!C17</f>
        <v>122175867.17999999</v>
      </c>
      <c r="D17" s="439">
        <f>+'Detailed Summary'!AG17</f>
        <v>17627311.820000004</v>
      </c>
      <c r="E17" s="439">
        <f>SUM(C17:D17)</f>
        <v>139803179</v>
      </c>
      <c r="F17" s="439">
        <f>+'Detailed Summary'!BK17</f>
        <v>-56834873.589778684</v>
      </c>
      <c r="G17" s="439">
        <f>SUM(E17:F17)</f>
        <v>82968305.410221308</v>
      </c>
      <c r="H17" s="439"/>
      <c r="I17" s="439">
        <f>SUM(G17:H17)</f>
        <v>82968305.410221308</v>
      </c>
    </row>
    <row r="18" spans="1:9" x14ac:dyDescent="0.25">
      <c r="A18" s="266">
        <f t="shared" si="0"/>
        <v>6</v>
      </c>
      <c r="B18" s="316" t="s">
        <v>5</v>
      </c>
      <c r="C18" s="30">
        <f t="shared" ref="C18:I18" si="1">SUM(C14:C17)</f>
        <v>2443083187.8299994</v>
      </c>
      <c r="D18" s="30">
        <f t="shared" si="1"/>
        <v>-140972569.16876799</v>
      </c>
      <c r="E18" s="30">
        <f t="shared" si="1"/>
        <v>2302110618.661232</v>
      </c>
      <c r="F18" s="30">
        <f t="shared" si="1"/>
        <v>-209513066.08733869</v>
      </c>
      <c r="G18" s="30">
        <f t="shared" si="1"/>
        <v>2092597552.5738933</v>
      </c>
      <c r="H18" s="30">
        <f t="shared" si="1"/>
        <v>127736404</v>
      </c>
      <c r="I18" s="30">
        <f t="shared" si="1"/>
        <v>2220333956.5738931</v>
      </c>
    </row>
    <row r="19" spans="1:9" s="214" customFormat="1" x14ac:dyDescent="0.25">
      <c r="A19" s="266">
        <f t="shared" si="0"/>
        <v>7</v>
      </c>
      <c r="B19" s="537"/>
      <c r="C19" s="439"/>
      <c r="D19" s="439"/>
      <c r="E19" s="439"/>
      <c r="F19" s="439"/>
      <c r="G19" s="439"/>
      <c r="H19" s="439"/>
      <c r="I19" s="439"/>
    </row>
    <row r="20" spans="1:9" x14ac:dyDescent="0.25">
      <c r="A20" s="266">
        <f t="shared" si="0"/>
        <v>8</v>
      </c>
      <c r="B20" s="316" t="s">
        <v>6</v>
      </c>
    </row>
    <row r="21" spans="1:9" x14ac:dyDescent="0.25">
      <c r="A21" s="266">
        <f t="shared" si="0"/>
        <v>9</v>
      </c>
      <c r="B21" s="1"/>
    </row>
    <row r="22" spans="1:9" x14ac:dyDescent="0.25">
      <c r="A22" s="266">
        <f t="shared" si="0"/>
        <v>10</v>
      </c>
      <c r="B22" s="316" t="s">
        <v>7</v>
      </c>
    </row>
    <row r="23" spans="1:9" x14ac:dyDescent="0.25">
      <c r="A23" s="266">
        <f t="shared" si="0"/>
        <v>11</v>
      </c>
      <c r="B23" s="316" t="s">
        <v>8</v>
      </c>
      <c r="C23" s="17">
        <f>+'Detailed Summary'!C23</f>
        <v>204174130.28999999</v>
      </c>
      <c r="D23" s="17">
        <f>+'Detailed Summary'!AG23</f>
        <v>1063362.3599999994</v>
      </c>
      <c r="E23" s="17">
        <f>SUM(C23:D23)</f>
        <v>205237492.64999998</v>
      </c>
      <c r="F23" s="17">
        <f>+'Detailed Summary'!BK23</f>
        <v>-41222167.660297595</v>
      </c>
      <c r="G23" s="17">
        <f>SUM(E23:F23)</f>
        <v>164015324.98970237</v>
      </c>
      <c r="H23" s="18"/>
      <c r="I23" s="17">
        <f>SUM(G23:H23)</f>
        <v>164015324.98970237</v>
      </c>
    </row>
    <row r="24" spans="1:9" x14ac:dyDescent="0.25">
      <c r="A24" s="266">
        <f t="shared" si="0"/>
        <v>12</v>
      </c>
      <c r="B24" s="316" t="s">
        <v>9</v>
      </c>
      <c r="C24" s="439">
        <f>+'Detailed Summary'!C24</f>
        <v>591842797.56999886</v>
      </c>
      <c r="D24" s="439">
        <f>+'Detailed Summary'!AG24</f>
        <v>8537087.6701091882</v>
      </c>
      <c r="E24" s="439">
        <f>SUM(C24:D24)</f>
        <v>600379885.24010801</v>
      </c>
      <c r="F24" s="439">
        <f>+'Detailed Summary'!BK24</f>
        <v>-100879191.70320398</v>
      </c>
      <c r="G24" s="439">
        <f>SUM(E24:F24)</f>
        <v>499500693.53690404</v>
      </c>
      <c r="H24" s="440"/>
      <c r="I24" s="439">
        <f>SUM(G24:H24)</f>
        <v>499500693.53690404</v>
      </c>
    </row>
    <row r="25" spans="1:9" x14ac:dyDescent="0.25">
      <c r="A25" s="266">
        <f t="shared" si="0"/>
        <v>13</v>
      </c>
      <c r="B25" s="316" t="s">
        <v>10</v>
      </c>
      <c r="C25" s="439">
        <f>+'Detailed Summary'!C25</f>
        <v>115807777.5999999</v>
      </c>
      <c r="D25" s="439">
        <f>+'Detailed Summary'!AG25</f>
        <v>0</v>
      </c>
      <c r="E25" s="439">
        <f>SUM(C25:D25)</f>
        <v>115807777.5999999</v>
      </c>
      <c r="F25" s="439">
        <f>+'Detailed Summary'!BK25</f>
        <v>-3321384.8286957741</v>
      </c>
      <c r="G25" s="439">
        <f>SUM(E25:F25)</f>
        <v>112486392.77130413</v>
      </c>
      <c r="H25" s="440"/>
      <c r="I25" s="439">
        <f>SUM(G25:H25)</f>
        <v>112486392.77130413</v>
      </c>
    </row>
    <row r="26" spans="1:9" x14ac:dyDescent="0.25">
      <c r="A26" s="266">
        <f t="shared" si="0"/>
        <v>14</v>
      </c>
      <c r="B26" s="1" t="s">
        <v>11</v>
      </c>
      <c r="C26" s="439">
        <f>+'Detailed Summary'!C26</f>
        <v>-77453659.509999901</v>
      </c>
      <c r="D26" s="439">
        <f>+'Detailed Summary'!AG26</f>
        <v>77453659.510000005</v>
      </c>
      <c r="E26" s="439">
        <f>SUM(C26:D26)</f>
        <v>0</v>
      </c>
      <c r="F26" s="439">
        <f>+'Detailed Summary'!BK26</f>
        <v>0</v>
      </c>
      <c r="G26" s="439">
        <f>SUM(E26:F26)</f>
        <v>0</v>
      </c>
      <c r="H26" s="440"/>
      <c r="I26" s="439">
        <f>SUM(G26:H26)</f>
        <v>0</v>
      </c>
    </row>
    <row r="27" spans="1:9" x14ac:dyDescent="0.25">
      <c r="A27" s="266">
        <f t="shared" si="0"/>
        <v>15</v>
      </c>
      <c r="B27" s="316" t="s">
        <v>12</v>
      </c>
      <c r="C27" s="31">
        <f t="shared" ref="C27:I27" si="2">SUM(C22:C26)</f>
        <v>834371045.94999886</v>
      </c>
      <c r="D27" s="31">
        <f t="shared" si="2"/>
        <v>87054109.540109187</v>
      </c>
      <c r="E27" s="31">
        <f t="shared" si="2"/>
        <v>921425155.49010789</v>
      </c>
      <c r="F27" s="31">
        <f t="shared" si="2"/>
        <v>-145422744.19219735</v>
      </c>
      <c r="G27" s="31">
        <f t="shared" si="2"/>
        <v>776002411.29791057</v>
      </c>
      <c r="H27" s="30">
        <f t="shared" si="2"/>
        <v>0</v>
      </c>
      <c r="I27" s="31">
        <f t="shared" si="2"/>
        <v>776002411.29791057</v>
      </c>
    </row>
    <row r="28" spans="1:9" x14ac:dyDescent="0.25">
      <c r="A28" s="266">
        <f t="shared" si="0"/>
        <v>16</v>
      </c>
      <c r="B28" s="316"/>
      <c r="C28" s="17"/>
      <c r="D28" s="17"/>
      <c r="E28" s="17"/>
      <c r="F28" s="17"/>
      <c r="G28" s="17"/>
      <c r="H28" s="18"/>
      <c r="I28" s="17"/>
    </row>
    <row r="29" spans="1:9" x14ac:dyDescent="0.25">
      <c r="A29" s="266">
        <f t="shared" si="0"/>
        <v>17</v>
      </c>
      <c r="B29" s="325" t="s">
        <v>13</v>
      </c>
      <c r="C29" s="17">
        <f>+'Detailed Summary'!C29</f>
        <v>127167992.89</v>
      </c>
      <c r="D29" s="17">
        <f>+'Detailed Summary'!AG29</f>
        <v>-35955.199816429289</v>
      </c>
      <c r="E29" s="17">
        <f t="shared" ref="E29:E43" si="3">SUM(C29:D29)</f>
        <v>127132037.69018357</v>
      </c>
      <c r="F29" s="17">
        <f>+'Detailed Summary'!BK29</f>
        <v>-17913745.52205608</v>
      </c>
      <c r="G29" s="17">
        <f t="shared" ref="G29:G43" si="4">SUM(E29:F29)</f>
        <v>109218292.16812748</v>
      </c>
      <c r="H29" s="18"/>
      <c r="I29" s="17">
        <f t="shared" ref="I29:I43" si="5">SUM(G29:H29)</f>
        <v>109218292.16812748</v>
      </c>
    </row>
    <row r="30" spans="1:9" x14ac:dyDescent="0.25">
      <c r="A30" s="266">
        <f t="shared" si="0"/>
        <v>18</v>
      </c>
      <c r="B30" s="316" t="s">
        <v>14</v>
      </c>
      <c r="C30" s="439">
        <f>+'Detailed Summary'!C30</f>
        <v>24439502.479999997</v>
      </c>
      <c r="D30" s="439">
        <f>+'Detailed Summary'!AG30</f>
        <v>-119633.45425329165</v>
      </c>
      <c r="E30" s="439">
        <f t="shared" si="3"/>
        <v>24319869.025746707</v>
      </c>
      <c r="F30" s="439">
        <f>+'Detailed Summary'!BK30</f>
        <v>488386.45716514532</v>
      </c>
      <c r="G30" s="439">
        <f t="shared" si="4"/>
        <v>24808255.482911851</v>
      </c>
      <c r="H30" s="440"/>
      <c r="I30" s="439">
        <f t="shared" si="5"/>
        <v>24808255.482911851</v>
      </c>
    </row>
    <row r="31" spans="1:9" x14ac:dyDescent="0.25">
      <c r="A31" s="266">
        <f t="shared" si="0"/>
        <v>19</v>
      </c>
      <c r="B31" s="316" t="s">
        <v>15</v>
      </c>
      <c r="C31" s="439">
        <f>+'Detailed Summary'!C31</f>
        <v>83251239.00999999</v>
      </c>
      <c r="D31" s="439">
        <f>+'Detailed Summary'!AG31</f>
        <v>70205.134423830081</v>
      </c>
      <c r="E31" s="439">
        <f t="shared" si="3"/>
        <v>83321444.144423828</v>
      </c>
      <c r="F31" s="439">
        <f>+'Detailed Summary'!BK31</f>
        <v>2247362.7262155674</v>
      </c>
      <c r="G31" s="439">
        <f t="shared" si="4"/>
        <v>85568806.870639399</v>
      </c>
      <c r="H31" s="440"/>
      <c r="I31" s="439">
        <f t="shared" si="5"/>
        <v>85568806.870639399</v>
      </c>
    </row>
    <row r="32" spans="1:9" x14ac:dyDescent="0.25">
      <c r="A32" s="266">
        <f t="shared" si="0"/>
        <v>20</v>
      </c>
      <c r="B32" s="316" t="s">
        <v>16</v>
      </c>
      <c r="C32" s="439">
        <f>+'Detailed Summary'!C32</f>
        <v>53199861.179999992</v>
      </c>
      <c r="D32" s="439">
        <f>+'Detailed Summary'!AG32</f>
        <v>-774802.84079546237</v>
      </c>
      <c r="E32" s="439">
        <f t="shared" si="3"/>
        <v>52425058.339204527</v>
      </c>
      <c r="F32" s="439">
        <f>+'Detailed Summary'!BK32</f>
        <v>-307130.94394982938</v>
      </c>
      <c r="G32" s="439">
        <f t="shared" si="4"/>
        <v>52117927.395254701</v>
      </c>
      <c r="H32" s="439">
        <f>'COC, Def, ConvF'!C21*'COC, Def, ConvF'!M12</f>
        <v>1083076.969516</v>
      </c>
      <c r="I32" s="439">
        <f t="shared" si="5"/>
        <v>53201004.364770703</v>
      </c>
    </row>
    <row r="33" spans="1:9" x14ac:dyDescent="0.25">
      <c r="A33" s="266">
        <f t="shared" si="0"/>
        <v>21</v>
      </c>
      <c r="B33" s="316" t="s">
        <v>17</v>
      </c>
      <c r="C33" s="439">
        <f>+'Detailed Summary'!C33</f>
        <v>22140921.049999997</v>
      </c>
      <c r="D33" s="439">
        <f>+'Detailed Summary'!AG33</f>
        <v>-18125239.842409734</v>
      </c>
      <c r="E33" s="439">
        <f t="shared" si="3"/>
        <v>4015681.2075902633</v>
      </c>
      <c r="F33" s="439">
        <f>+'Detailed Summary'!BK33</f>
        <v>67858.879361970816</v>
      </c>
      <c r="G33" s="439">
        <f t="shared" si="4"/>
        <v>4083540.0869522342</v>
      </c>
      <c r="H33" s="439"/>
      <c r="I33" s="439">
        <f t="shared" si="5"/>
        <v>4083540.0869522342</v>
      </c>
    </row>
    <row r="34" spans="1:9" x14ac:dyDescent="0.25">
      <c r="A34" s="266">
        <f t="shared" si="0"/>
        <v>22</v>
      </c>
      <c r="B34" s="316" t="s">
        <v>18</v>
      </c>
      <c r="C34" s="439">
        <f>+'Detailed Summary'!C34</f>
        <v>97087902.950000003</v>
      </c>
      <c r="D34" s="439">
        <f>+'Detailed Summary'!AG34</f>
        <v>-97087902.950000003</v>
      </c>
      <c r="E34" s="439">
        <f t="shared" si="3"/>
        <v>0</v>
      </c>
      <c r="F34" s="439">
        <f>+'Detailed Summary'!BK34</f>
        <v>0</v>
      </c>
      <c r="G34" s="439">
        <f t="shared" si="4"/>
        <v>0</v>
      </c>
      <c r="H34" s="439"/>
      <c r="I34" s="439">
        <f t="shared" si="5"/>
        <v>0</v>
      </c>
    </row>
    <row r="35" spans="1:9" x14ac:dyDescent="0.25">
      <c r="A35" s="266">
        <f t="shared" si="0"/>
        <v>23</v>
      </c>
      <c r="B35" s="316" t="s">
        <v>19</v>
      </c>
      <c r="C35" s="439">
        <f>+'Detailed Summary'!C35</f>
        <v>124825410.95999999</v>
      </c>
      <c r="D35" s="439">
        <f>+'Detailed Summary'!AG35</f>
        <v>752398.42289959756</v>
      </c>
      <c r="E35" s="439">
        <f t="shared" si="3"/>
        <v>125577809.3828996</v>
      </c>
      <c r="F35" s="439">
        <f>+'Detailed Summary'!BK35</f>
        <v>2219347.929771374</v>
      </c>
      <c r="G35" s="439">
        <f t="shared" si="4"/>
        <v>127797157.31267098</v>
      </c>
      <c r="H35" s="439">
        <f>'COC, Def, ConvF'!C21*'COC, Def, ConvF'!M13</f>
        <v>255472.80800000002</v>
      </c>
      <c r="I35" s="439">
        <f t="shared" si="5"/>
        <v>128052630.12067097</v>
      </c>
    </row>
    <row r="36" spans="1:9" x14ac:dyDescent="0.25">
      <c r="A36" s="266">
        <f t="shared" si="0"/>
        <v>24</v>
      </c>
      <c r="B36" s="316" t="s">
        <v>20</v>
      </c>
      <c r="C36" s="439">
        <f>+'Detailed Summary'!C36</f>
        <v>341625259.95999998</v>
      </c>
      <c r="D36" s="439">
        <f>+'Detailed Summary'!AG36</f>
        <v>3138498.764109659</v>
      </c>
      <c r="E36" s="439">
        <f t="shared" si="3"/>
        <v>344763758.72410965</v>
      </c>
      <c r="F36" s="439">
        <f>+'Detailed Summary'!BK36</f>
        <v>5224554.0210126722</v>
      </c>
      <c r="G36" s="439">
        <f t="shared" si="4"/>
        <v>349988312.74512231</v>
      </c>
      <c r="H36" s="439"/>
      <c r="I36" s="439">
        <f t="shared" si="5"/>
        <v>349988312.74512231</v>
      </c>
    </row>
    <row r="37" spans="1:9" x14ac:dyDescent="0.25">
      <c r="A37" s="266">
        <f t="shared" si="0"/>
        <v>25</v>
      </c>
      <c r="B37" s="316" t="s">
        <v>21</v>
      </c>
      <c r="C37" s="439">
        <f>+'Detailed Summary'!C37</f>
        <v>75292958.060000002</v>
      </c>
      <c r="D37" s="439">
        <f>+'Detailed Summary'!AG37</f>
        <v>15699257.697837964</v>
      </c>
      <c r="E37" s="439">
        <f t="shared" si="3"/>
        <v>90992215.757837966</v>
      </c>
      <c r="F37" s="439">
        <f>+'Detailed Summary'!BK37</f>
        <v>6319864.5233682003</v>
      </c>
      <c r="G37" s="439">
        <f t="shared" si="4"/>
        <v>97312080.281206161</v>
      </c>
      <c r="H37" s="439"/>
      <c r="I37" s="439">
        <f t="shared" si="5"/>
        <v>97312080.281206161</v>
      </c>
    </row>
    <row r="38" spans="1:9" x14ac:dyDescent="0.25">
      <c r="A38" s="266">
        <f t="shared" si="0"/>
        <v>26</v>
      </c>
      <c r="B38" s="325" t="s">
        <v>22</v>
      </c>
      <c r="C38" s="439">
        <f>+'Detailed Summary'!C38</f>
        <v>35645161.039999902</v>
      </c>
      <c r="D38" s="439">
        <f>+'Detailed Summary'!AG38</f>
        <v>0</v>
      </c>
      <c r="E38" s="439">
        <f t="shared" si="3"/>
        <v>35645161.039999902</v>
      </c>
      <c r="F38" s="439">
        <f>+'Detailed Summary'!BK38</f>
        <v>7505238.283406239</v>
      </c>
      <c r="G38" s="439">
        <f t="shared" si="4"/>
        <v>43150399.323406145</v>
      </c>
      <c r="H38" s="439"/>
      <c r="I38" s="439">
        <f t="shared" si="5"/>
        <v>43150399.323406145</v>
      </c>
    </row>
    <row r="39" spans="1:9" x14ac:dyDescent="0.25">
      <c r="A39" s="266">
        <f t="shared" si="0"/>
        <v>27</v>
      </c>
      <c r="B39" s="316" t="s">
        <v>23</v>
      </c>
      <c r="C39" s="439">
        <f>+'Detailed Summary'!C39</f>
        <v>-21632953.829999994</v>
      </c>
      <c r="D39" s="439">
        <f>+'Detailed Summary'!AG39</f>
        <v>31433177.98</v>
      </c>
      <c r="E39" s="439">
        <f t="shared" si="3"/>
        <v>9800224.150000006</v>
      </c>
      <c r="F39" s="439">
        <f>+'Detailed Summary'!BK39</f>
        <v>4409175.2069974951</v>
      </c>
      <c r="G39" s="439">
        <f t="shared" si="4"/>
        <v>14209399.356997501</v>
      </c>
      <c r="H39" s="439"/>
      <c r="I39" s="439">
        <f t="shared" si="5"/>
        <v>14209399.356997501</v>
      </c>
    </row>
    <row r="40" spans="1:9" x14ac:dyDescent="0.25">
      <c r="A40" s="266">
        <f t="shared" si="0"/>
        <v>28</v>
      </c>
      <c r="B40" s="1" t="s">
        <v>24</v>
      </c>
      <c r="C40" s="439">
        <f>+'Detailed Summary'!C40</f>
        <v>-41661500.859999999</v>
      </c>
      <c r="D40" s="439">
        <f>+'Detailed Summary'!AG40</f>
        <v>41661500.859999999</v>
      </c>
      <c r="E40" s="439">
        <f t="shared" si="3"/>
        <v>0</v>
      </c>
      <c r="F40" s="439">
        <f>+'Detailed Summary'!BK40</f>
        <v>0</v>
      </c>
      <c r="G40" s="439">
        <f t="shared" si="4"/>
        <v>0</v>
      </c>
      <c r="H40" s="439"/>
      <c r="I40" s="439">
        <f t="shared" si="5"/>
        <v>0</v>
      </c>
    </row>
    <row r="41" spans="1:9" x14ac:dyDescent="0.25">
      <c r="A41" s="266">
        <f t="shared" si="0"/>
        <v>29</v>
      </c>
      <c r="B41" s="316" t="s">
        <v>25</v>
      </c>
      <c r="C41" s="439">
        <f>+'Detailed Summary'!C41</f>
        <v>234440433.30000001</v>
      </c>
      <c r="D41" s="439">
        <f>+'Detailed Summary'!AG41</f>
        <v>-146620963.88326266</v>
      </c>
      <c r="E41" s="439">
        <f t="shared" si="3"/>
        <v>87819469.416737348</v>
      </c>
      <c r="F41" s="439">
        <f>+'Detailed Summary'!BK41</f>
        <v>-1197546.1397093036</v>
      </c>
      <c r="G41" s="439">
        <f t="shared" si="4"/>
        <v>86621923.277028039</v>
      </c>
      <c r="H41" s="439">
        <f>'COC, Def, ConvF'!C21*'COC, Def, ConvF'!M14</f>
        <v>4905844.3320240006</v>
      </c>
      <c r="I41" s="439">
        <f t="shared" si="5"/>
        <v>91527767.609052032</v>
      </c>
    </row>
    <row r="42" spans="1:9" x14ac:dyDescent="0.25">
      <c r="A42" s="266">
        <f t="shared" si="0"/>
        <v>30</v>
      </c>
      <c r="B42" s="316" t="s">
        <v>26</v>
      </c>
      <c r="C42" s="439">
        <f>+'Detailed Summary'!C42</f>
        <v>22841555.030000001</v>
      </c>
      <c r="D42" s="439">
        <f>+'Detailed Summary'!AG42</f>
        <v>60720494.657176331</v>
      </c>
      <c r="E42" s="439">
        <f t="shared" si="3"/>
        <v>83562049.687176332</v>
      </c>
      <c r="F42" s="439">
        <f>+'Detailed Summary'!BK42</f>
        <v>-15005121.8483871</v>
      </c>
      <c r="G42" s="439">
        <f t="shared" si="4"/>
        <v>68556927.838789225</v>
      </c>
      <c r="H42" s="439">
        <f>'COC, Def, ConvF'!C21*'COC, Def, ConvF'!M19</f>
        <v>25513302.916536</v>
      </c>
      <c r="I42" s="439">
        <f t="shared" si="5"/>
        <v>94070230.755325228</v>
      </c>
    </row>
    <row r="43" spans="1:9" x14ac:dyDescent="0.25">
      <c r="A43" s="266">
        <f t="shared" si="0"/>
        <v>31</v>
      </c>
      <c r="B43" s="1" t="s">
        <v>27</v>
      </c>
      <c r="C43" s="439">
        <f>+'Detailed Summary'!C43</f>
        <v>38907707.560000002</v>
      </c>
      <c r="D43" s="439">
        <f>+'Detailed Summary'!AG43</f>
        <v>-90716508.465295345</v>
      </c>
      <c r="E43" s="439">
        <f t="shared" si="3"/>
        <v>-51808800.905295342</v>
      </c>
      <c r="F43" s="439">
        <f>+'Detailed Summary'!BK43</f>
        <v>-9006372.2399999984</v>
      </c>
      <c r="G43" s="439">
        <f t="shared" si="4"/>
        <v>-60815173.145295337</v>
      </c>
      <c r="H43" s="439"/>
      <c r="I43" s="439">
        <f t="shared" si="5"/>
        <v>-60815173.145295337</v>
      </c>
    </row>
    <row r="44" spans="1:9" x14ac:dyDescent="0.25">
      <c r="A44" s="266">
        <f t="shared" si="0"/>
        <v>32</v>
      </c>
      <c r="B44" s="316" t="s">
        <v>28</v>
      </c>
      <c r="C44" s="31">
        <f t="shared" ref="C44:I44" si="6">SUM(C27:C43)</f>
        <v>2051942496.7299988</v>
      </c>
      <c r="D44" s="31">
        <f t="shared" si="6"/>
        <v>-112951363.57927634</v>
      </c>
      <c r="E44" s="31">
        <f t="shared" si="6"/>
        <v>1938991133.1507223</v>
      </c>
      <c r="F44" s="31">
        <f t="shared" si="6"/>
        <v>-160370872.85900101</v>
      </c>
      <c r="G44" s="31">
        <f t="shared" si="6"/>
        <v>1778620260.2917213</v>
      </c>
      <c r="H44" s="31">
        <f t="shared" si="6"/>
        <v>31757697.026076</v>
      </c>
      <c r="I44" s="31">
        <f t="shared" si="6"/>
        <v>1810377957.3177972</v>
      </c>
    </row>
    <row r="45" spans="1:9" x14ac:dyDescent="0.25">
      <c r="A45" s="266">
        <f t="shared" si="0"/>
        <v>33</v>
      </c>
      <c r="B45" s="1"/>
      <c r="C45" s="32"/>
      <c r="D45" s="32"/>
      <c r="E45" s="32"/>
      <c r="F45" s="32"/>
      <c r="G45" s="32"/>
      <c r="H45" s="32"/>
      <c r="I45" s="32"/>
    </row>
    <row r="46" spans="1:9" ht="14.4" thickBot="1" x14ac:dyDescent="0.3">
      <c r="A46" s="266">
        <f t="shared" ref="A46:A64" si="7">A45+1</f>
        <v>34</v>
      </c>
      <c r="B46" s="1" t="s">
        <v>29</v>
      </c>
      <c r="C46" s="212">
        <f t="shared" ref="C46:I46" si="8">+C18-C44</f>
        <v>391140691.10000062</v>
      </c>
      <c r="D46" s="212">
        <f t="shared" si="8"/>
        <v>-28021205.58949165</v>
      </c>
      <c r="E46" s="212">
        <f t="shared" si="8"/>
        <v>363119485.51050973</v>
      </c>
      <c r="F46" s="212">
        <f t="shared" si="8"/>
        <v>-49142193.228337675</v>
      </c>
      <c r="G46" s="212">
        <f t="shared" si="8"/>
        <v>313977292.28217196</v>
      </c>
      <c r="H46" s="212">
        <f t="shared" si="8"/>
        <v>95978706.973923996</v>
      </c>
      <c r="I46" s="212">
        <f t="shared" si="8"/>
        <v>409955999.25609589</v>
      </c>
    </row>
    <row r="47" spans="1:9" ht="14.4" thickTop="1" x14ac:dyDescent="0.25">
      <c r="A47" s="266">
        <f t="shared" si="7"/>
        <v>35</v>
      </c>
    </row>
    <row r="48" spans="1:9" s="18" customFormat="1" x14ac:dyDescent="0.25">
      <c r="A48" s="266">
        <f t="shared" si="7"/>
        <v>36</v>
      </c>
      <c r="B48" s="316" t="s">
        <v>30</v>
      </c>
      <c r="C48" s="17">
        <f>C59</f>
        <v>5208778506.3049917</v>
      </c>
      <c r="D48" s="17">
        <f>D59</f>
        <v>153068105.03042257</v>
      </c>
      <c r="E48" s="17">
        <f>E59</f>
        <v>5361846611.3354149</v>
      </c>
      <c r="F48" s="17">
        <f>F59</f>
        <v>148314669.20635712</v>
      </c>
      <c r="G48" s="17">
        <f>G59</f>
        <v>5510161280.5417719</v>
      </c>
      <c r="H48" s="17"/>
      <c r="I48" s="17">
        <f>I59</f>
        <v>5510161280.5417719</v>
      </c>
    </row>
    <row r="49" spans="1:9" x14ac:dyDescent="0.25">
      <c r="A49" s="266">
        <f t="shared" si="7"/>
        <v>37</v>
      </c>
      <c r="B49" s="1"/>
    </row>
    <row r="50" spans="1:9" x14ac:dyDescent="0.25">
      <c r="A50" s="266">
        <f t="shared" si="7"/>
        <v>38</v>
      </c>
      <c r="B50" s="316" t="s">
        <v>31</v>
      </c>
      <c r="C50" s="538">
        <f>+C46/C48</f>
        <v>7.5092594286077327E-2</v>
      </c>
      <c r="D50" s="538"/>
      <c r="E50" s="538">
        <f>+E46/E48</f>
        <v>6.772284099713767E-2</v>
      </c>
      <c r="F50" s="538"/>
      <c r="G50" s="538">
        <f>+G46/G48</f>
        <v>5.6981506764771317E-2</v>
      </c>
      <c r="H50" s="439"/>
      <c r="I50" s="538">
        <f>+I46/I48</f>
        <v>7.4399999997057806E-2</v>
      </c>
    </row>
    <row r="51" spans="1:9" x14ac:dyDescent="0.25">
      <c r="A51" s="266">
        <f t="shared" si="7"/>
        <v>39</v>
      </c>
      <c r="B51" s="1"/>
      <c r="C51" s="439"/>
      <c r="D51" s="439"/>
      <c r="E51" s="439"/>
      <c r="F51" s="439" t="s">
        <v>249</v>
      </c>
      <c r="G51" s="439"/>
      <c r="H51" s="439"/>
      <c r="I51" s="439"/>
    </row>
    <row r="52" spans="1:9" x14ac:dyDescent="0.25">
      <c r="A52" s="266">
        <f t="shared" si="7"/>
        <v>40</v>
      </c>
      <c r="B52" s="1" t="s">
        <v>32</v>
      </c>
      <c r="C52" s="439"/>
      <c r="D52" s="439"/>
      <c r="E52" s="439"/>
      <c r="F52" s="439"/>
      <c r="G52" s="439"/>
      <c r="H52" s="439"/>
      <c r="I52" s="439"/>
    </row>
    <row r="53" spans="1:9" x14ac:dyDescent="0.25">
      <c r="A53" s="266">
        <f t="shared" si="7"/>
        <v>41</v>
      </c>
      <c r="B53" s="422" t="s">
        <v>33</v>
      </c>
      <c r="C53" s="17">
        <f>+'Detailed Summary'!C53</f>
        <v>10572466950.394854</v>
      </c>
      <c r="D53" s="17">
        <f>+'Detailed Summary'!AG53</f>
        <v>321312561.00242585</v>
      </c>
      <c r="E53" s="17">
        <f t="shared" ref="E53:E58" si="9">SUM(C53:D53)</f>
        <v>10893779511.39728</v>
      </c>
      <c r="F53" s="17">
        <f>+'Detailed Summary'!BK53</f>
        <v>159316020.26055086</v>
      </c>
      <c r="G53" s="17">
        <f t="shared" ref="G53:G58" si="10">SUM(E53:F53)</f>
        <v>11053095531.657831</v>
      </c>
      <c r="H53" s="17"/>
      <c r="I53" s="17">
        <f t="shared" ref="I53:I58" si="11">SUM(G53:H53)</f>
        <v>11053095531.657831</v>
      </c>
    </row>
    <row r="54" spans="1:9" x14ac:dyDescent="0.25">
      <c r="A54" s="266">
        <f t="shared" si="7"/>
        <v>42</v>
      </c>
      <c r="B54" s="422" t="s">
        <v>34</v>
      </c>
      <c r="C54" s="439">
        <f>+'Detailed Summary'!C54</f>
        <v>-4244925258.0010071</v>
      </c>
      <c r="D54" s="439">
        <f>+'Detailed Summary'!AG54</f>
        <v>-179466335.93937823</v>
      </c>
      <c r="E54" s="439">
        <f t="shared" si="9"/>
        <v>-4424391593.9403849</v>
      </c>
      <c r="F54" s="439">
        <f>+'Detailed Summary'!BK54</f>
        <v>-10136429.704760225</v>
      </c>
      <c r="G54" s="439">
        <f t="shared" si="10"/>
        <v>-4434528023.6451454</v>
      </c>
      <c r="H54" s="439"/>
      <c r="I54" s="439">
        <f t="shared" si="11"/>
        <v>-4434528023.6451454</v>
      </c>
    </row>
    <row r="55" spans="1:9" x14ac:dyDescent="0.25">
      <c r="A55" s="266">
        <f t="shared" si="7"/>
        <v>43</v>
      </c>
      <c r="B55" s="1" t="s">
        <v>35</v>
      </c>
      <c r="C55" s="439">
        <f>+'Detailed Summary'!C55</f>
        <v>285841342.02833331</v>
      </c>
      <c r="D55" s="439">
        <f>+'Detailed Summary'!AG55</f>
        <v>-12697238.698333323</v>
      </c>
      <c r="E55" s="439">
        <f t="shared" si="9"/>
        <v>273144103.32999998</v>
      </c>
      <c r="F55" s="439">
        <f>+'Detailed Summary'!BK55</f>
        <v>-1738409.4795290679</v>
      </c>
      <c r="G55" s="439">
        <f t="shared" si="10"/>
        <v>271405693.8504709</v>
      </c>
      <c r="H55" s="439"/>
      <c r="I55" s="439">
        <f t="shared" si="11"/>
        <v>271405693.8504709</v>
      </c>
    </row>
    <row r="56" spans="1:9" x14ac:dyDescent="0.25">
      <c r="A56" s="266">
        <f t="shared" si="7"/>
        <v>44</v>
      </c>
      <c r="B56" s="1" t="s">
        <v>36</v>
      </c>
      <c r="C56" s="439">
        <f>+'Detailed Summary'!C56</f>
        <v>-1443684469.5857882</v>
      </c>
      <c r="D56" s="439">
        <f>+'Detailed Summary'!AG56</f>
        <v>33714623.679620914</v>
      </c>
      <c r="E56" s="439">
        <f t="shared" si="9"/>
        <v>-1409969845.9061673</v>
      </c>
      <c r="F56" s="439">
        <f>+'Detailed Summary'!BK56</f>
        <v>873488.13009555126</v>
      </c>
      <c r="G56" s="439">
        <f t="shared" si="10"/>
        <v>-1409096357.7760718</v>
      </c>
      <c r="H56" s="439"/>
      <c r="I56" s="439">
        <f t="shared" si="11"/>
        <v>-1409096357.7760718</v>
      </c>
    </row>
    <row r="57" spans="1:9" x14ac:dyDescent="0.25">
      <c r="A57" s="266">
        <f t="shared" si="7"/>
        <v>45</v>
      </c>
      <c r="B57" s="1" t="s">
        <v>37</v>
      </c>
      <c r="C57" s="439">
        <f>+'Detailed Summary'!C57</f>
        <v>145303204.9988502</v>
      </c>
      <c r="D57" s="439">
        <f>+'Detailed Summary'!AG57</f>
        <v>-7927989.0496875346</v>
      </c>
      <c r="E57" s="439">
        <f t="shared" si="9"/>
        <v>137375215.94916266</v>
      </c>
      <c r="F57" s="439">
        <f>+'Detailed Summary'!BK57</f>
        <v>0</v>
      </c>
      <c r="G57" s="439">
        <f t="shared" si="10"/>
        <v>137375215.94916266</v>
      </c>
      <c r="H57" s="439"/>
      <c r="I57" s="439">
        <f t="shared" si="11"/>
        <v>137375215.94916266</v>
      </c>
    </row>
    <row r="58" spans="1:9" x14ac:dyDescent="0.25">
      <c r="A58" s="266">
        <f t="shared" si="7"/>
        <v>46</v>
      </c>
      <c r="B58" s="1" t="s">
        <v>38</v>
      </c>
      <c r="C58" s="439">
        <f>+'Detailed Summary'!C58</f>
        <v>-106223263.53024991</v>
      </c>
      <c r="D58" s="439">
        <f>+'Detailed Summary'!AG58</f>
        <v>-1867515.9642250985</v>
      </c>
      <c r="E58" s="439">
        <f t="shared" si="9"/>
        <v>-108090779.49447501</v>
      </c>
      <c r="F58" s="439">
        <f>+'Detailed Summary'!BK58</f>
        <v>0</v>
      </c>
      <c r="G58" s="439">
        <f t="shared" si="10"/>
        <v>-108090779.49447501</v>
      </c>
      <c r="H58" s="439"/>
      <c r="I58" s="439">
        <f t="shared" si="11"/>
        <v>-108090779.49447501</v>
      </c>
    </row>
    <row r="59" spans="1:9" ht="14.4" thickBot="1" x14ac:dyDescent="0.3">
      <c r="A59" s="266">
        <f t="shared" si="7"/>
        <v>47</v>
      </c>
      <c r="B59" s="1" t="s">
        <v>39</v>
      </c>
      <c r="C59" s="33">
        <f>SUM(C53:C58)</f>
        <v>5208778506.3049917</v>
      </c>
      <c r="D59" s="33">
        <f>SUM(D53:D58)</f>
        <v>153068105.03042257</v>
      </c>
      <c r="E59" s="33">
        <f>SUM(E53:E58)</f>
        <v>5361846611.3354149</v>
      </c>
      <c r="F59" s="33">
        <f>SUM(F53:F58)</f>
        <v>148314669.20635712</v>
      </c>
      <c r="G59" s="33">
        <f>SUM(G53:G58)</f>
        <v>5510161280.5417719</v>
      </c>
      <c r="H59" s="33"/>
      <c r="I59" s="33">
        <f>SUM(I53:I58)</f>
        <v>5510161280.5417719</v>
      </c>
    </row>
    <row r="60" spans="1:9" ht="14.4" thickTop="1" x14ac:dyDescent="0.25">
      <c r="A60" s="266">
        <f t="shared" si="7"/>
        <v>48</v>
      </c>
    </row>
    <row r="61" spans="1:9" x14ac:dyDescent="0.25">
      <c r="A61" s="266">
        <f t="shared" si="7"/>
        <v>49</v>
      </c>
      <c r="B61" s="1" t="s">
        <v>195</v>
      </c>
      <c r="C61" s="540">
        <f>+'COC, Def, ConvF'!$C$13</f>
        <v>7.4399999999999994E-2</v>
      </c>
      <c r="D61" s="540">
        <f>+'COC, Def, ConvF'!$C$13</f>
        <v>7.4399999999999994E-2</v>
      </c>
      <c r="E61" s="540">
        <f>+'COC, Def, ConvF'!$C$13</f>
        <v>7.4399999999999994E-2</v>
      </c>
      <c r="F61" s="540">
        <f>+'COC, Def, ConvF'!$C$13</f>
        <v>7.4399999999999994E-2</v>
      </c>
      <c r="G61" s="540">
        <f>+'COC, Def, ConvF'!$C$13</f>
        <v>7.4399999999999994E-2</v>
      </c>
      <c r="H61" s="540">
        <f>+'COC, Def, ConvF'!$C$13</f>
        <v>7.4399999999999994E-2</v>
      </c>
      <c r="I61" s="540">
        <f>+'COC, Def, ConvF'!$C$13</f>
        <v>7.4399999999999994E-2</v>
      </c>
    </row>
    <row r="62" spans="1:9" x14ac:dyDescent="0.25">
      <c r="A62" s="266">
        <f t="shared" si="7"/>
        <v>50</v>
      </c>
      <c r="B62" s="1" t="s">
        <v>243</v>
      </c>
      <c r="C62" s="543">
        <f>+'COC, Def, ConvF'!$M$20</f>
        <v>0.75138099999999997</v>
      </c>
      <c r="D62" s="543">
        <f>+'COC, Def, ConvF'!$M$20</f>
        <v>0.75138099999999997</v>
      </c>
      <c r="E62" s="543">
        <f>+'COC, Def, ConvF'!$M$20</f>
        <v>0.75138099999999997</v>
      </c>
      <c r="F62" s="543">
        <f>+'COC, Def, ConvF'!$M$20</f>
        <v>0.75138099999999997</v>
      </c>
      <c r="G62" s="543">
        <f>+'COC, Def, ConvF'!$M$20</f>
        <v>0.75138099999999997</v>
      </c>
      <c r="H62" s="543">
        <f>+'COC, Def, ConvF'!$M$20</f>
        <v>0.75138099999999997</v>
      </c>
      <c r="I62" s="543">
        <f>+'COC, Def, ConvF'!$M$20</f>
        <v>0.75138099999999997</v>
      </c>
    </row>
    <row r="63" spans="1:9" x14ac:dyDescent="0.25">
      <c r="A63" s="266">
        <f t="shared" si="7"/>
        <v>51</v>
      </c>
      <c r="B63" s="1" t="s">
        <v>244</v>
      </c>
      <c r="C63" s="18">
        <f t="shared" ref="C63:I63" si="12">+C46-(C59*C61)</f>
        <v>3607570.2309092879</v>
      </c>
      <c r="D63" s="18">
        <f t="shared" si="12"/>
        <v>-39409472.603755087</v>
      </c>
      <c r="E63" s="18">
        <f t="shared" si="12"/>
        <v>-35801902.372845113</v>
      </c>
      <c r="F63" s="18">
        <f t="shared" si="12"/>
        <v>-60176804.617290646</v>
      </c>
      <c r="G63" s="18">
        <f t="shared" si="12"/>
        <v>-95978706.990135849</v>
      </c>
      <c r="H63" s="18">
        <f t="shared" si="12"/>
        <v>95978706.973923996</v>
      </c>
      <c r="I63" s="18">
        <f t="shared" si="12"/>
        <v>-1.6211926937103271E-2</v>
      </c>
    </row>
    <row r="64" spans="1:9" x14ac:dyDescent="0.25">
      <c r="A64" s="266">
        <f t="shared" si="7"/>
        <v>52</v>
      </c>
      <c r="B64" s="1" t="s">
        <v>245</v>
      </c>
      <c r="C64" s="18">
        <f t="shared" ref="C64:I64" si="13">-C63/C62</f>
        <v>-4801252.9341429826</v>
      </c>
      <c r="D64" s="18">
        <f t="shared" si="13"/>
        <v>52449386.667689346</v>
      </c>
      <c r="E64" s="18">
        <f t="shared" si="13"/>
        <v>47648133.733545452</v>
      </c>
      <c r="F64" s="18">
        <f t="shared" si="13"/>
        <v>80088270.288030505</v>
      </c>
      <c r="G64" s="18">
        <f t="shared" si="13"/>
        <v>127736404.02157608</v>
      </c>
      <c r="H64" s="18">
        <f t="shared" si="13"/>
        <v>-127736404</v>
      </c>
      <c r="I64" s="18">
        <f t="shared" si="13"/>
        <v>2.1576173655047534E-2</v>
      </c>
    </row>
    <row r="66" spans="1:8" ht="14.4" x14ac:dyDescent="0.3">
      <c r="A66" s="156"/>
      <c r="B66" s="156"/>
      <c r="C66" s="156"/>
      <c r="D66" s="156"/>
      <c r="E66" s="156"/>
      <c r="F66" s="156"/>
      <c r="G66" s="156"/>
      <c r="H66" s="156"/>
    </row>
    <row r="67" spans="1:8" ht="14.4" x14ac:dyDescent="0.3">
      <c r="A67" s="156"/>
      <c r="B67" s="156"/>
      <c r="C67" s="156"/>
      <c r="D67" s="156"/>
      <c r="E67" s="156"/>
      <c r="F67" s="156"/>
      <c r="G67" s="156"/>
      <c r="H67" s="156"/>
    </row>
    <row r="68" spans="1:8" ht="14.4" x14ac:dyDescent="0.3">
      <c r="A68" s="156"/>
      <c r="B68" s="156"/>
      <c r="C68" s="156"/>
      <c r="D68" s="156"/>
      <c r="E68" s="156"/>
      <c r="F68" s="156"/>
      <c r="G68" s="156"/>
      <c r="H68" s="156"/>
    </row>
    <row r="69" spans="1:8" ht="14.4" x14ac:dyDescent="0.3">
      <c r="A69" s="156"/>
      <c r="B69" s="156"/>
      <c r="C69" s="156"/>
      <c r="D69" s="156"/>
      <c r="E69" s="156"/>
      <c r="F69" s="156"/>
      <c r="G69" s="156"/>
      <c r="H69" s="156"/>
    </row>
    <row r="70" spans="1:8" ht="14.4" x14ac:dyDescent="0.3">
      <c r="A70" s="156"/>
      <c r="B70" s="156"/>
      <c r="C70" s="156"/>
      <c r="D70" s="156"/>
      <c r="E70" s="156"/>
      <c r="F70" s="156"/>
      <c r="G70" s="156"/>
      <c r="H70" s="156"/>
    </row>
    <row r="71" spans="1:8" ht="14.4" x14ac:dyDescent="0.3">
      <c r="A71" s="156"/>
      <c r="B71" s="156"/>
      <c r="C71" s="156"/>
      <c r="D71" s="156"/>
      <c r="E71" s="156"/>
      <c r="F71" s="156"/>
      <c r="G71" s="156"/>
      <c r="H71" s="156"/>
    </row>
    <row r="72" spans="1:8" ht="14.4" x14ac:dyDescent="0.3">
      <c r="A72" s="156"/>
      <c r="B72" s="156"/>
      <c r="C72" s="156"/>
      <c r="D72" s="156"/>
      <c r="E72" s="156"/>
      <c r="F72" s="156"/>
      <c r="G72" s="156"/>
      <c r="H72" s="156"/>
    </row>
    <row r="73" spans="1:8" ht="14.4" x14ac:dyDescent="0.3">
      <c r="A73" s="156"/>
      <c r="B73" s="156"/>
      <c r="C73" s="156"/>
      <c r="D73" s="156"/>
      <c r="E73" s="156"/>
      <c r="F73" s="156"/>
      <c r="G73" s="156"/>
      <c r="H73" s="156"/>
    </row>
    <row r="74" spans="1:8" ht="14.4" x14ac:dyDescent="0.3">
      <c r="A74" s="156"/>
      <c r="B74" s="156"/>
      <c r="C74" s="156"/>
      <c r="D74" s="156"/>
      <c r="E74" s="156"/>
      <c r="F74" s="156"/>
      <c r="G74" s="156"/>
      <c r="H74" s="156"/>
    </row>
    <row r="75" spans="1:8" ht="14.4" x14ac:dyDescent="0.3">
      <c r="A75" s="156"/>
      <c r="B75" s="156"/>
      <c r="C75" s="156"/>
      <c r="D75" s="156"/>
      <c r="E75" s="156"/>
      <c r="F75" s="156"/>
      <c r="G75" s="156"/>
      <c r="H75" s="156"/>
    </row>
    <row r="76" spans="1:8" ht="15" customHeight="1" x14ac:dyDescent="0.25">
      <c r="D76" s="346"/>
      <c r="E76" s="346"/>
      <c r="F76" s="346"/>
    </row>
    <row r="77" spans="1:8" ht="15.75" customHeight="1" x14ac:dyDescent="0.25">
      <c r="D77" s="346"/>
      <c r="E77" s="346"/>
      <c r="F77" s="346"/>
    </row>
  </sheetData>
  <printOptions horizontalCentered="1"/>
  <pageMargins left="0.2" right="0.2" top="0.25" bottom="0.5" header="0.05" footer="0.1"/>
  <pageSetup scale="62" fitToWidth="0" orientation="landscape" r:id="rId1"/>
  <headerFooter>
    <oddFooter>&amp;L&amp;"-,Bold Italic"&amp;10&amp;K0000FFAmounts in bold and italics are different from September 17, 2019 supplemental filing.</oddFooter>
  </headerFooter>
  <customProperties>
    <customPr name="EpmWorksheetKeyString_GU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98"/>
  <sheetViews>
    <sheetView zoomScale="85" zoomScaleNormal="85" workbookViewId="0">
      <pane xSplit="2" ySplit="11" topLeftCell="C12" activePane="bottomRight" state="frozen"/>
      <selection activeCell="B41" sqref="B41"/>
      <selection pane="topRight" activeCell="B41" sqref="B41"/>
      <selection pane="bottomLeft" activeCell="B41" sqref="B41"/>
      <selection pane="bottomRight" activeCell="A12" sqref="A12"/>
    </sheetView>
  </sheetViews>
  <sheetFormatPr defaultColWidth="9.109375" defaultRowHeight="13.2" outlineLevelCol="1" x14ac:dyDescent="0.25"/>
  <cols>
    <col min="1" max="1" width="4.5546875" style="6" bestFit="1" customWidth="1"/>
    <col min="2" max="2" width="41.6640625" style="6" customWidth="1"/>
    <col min="3" max="3" width="17.33203125" style="6" customWidth="1"/>
    <col min="4" max="6" width="15.33203125" style="6" customWidth="1"/>
    <col min="7" max="7" width="14.109375" style="6" bestFit="1" customWidth="1"/>
    <col min="8" max="8" width="17.5546875" style="6" bestFit="1" customWidth="1"/>
    <col min="9" max="21" width="15.33203125" style="6" customWidth="1"/>
    <col min="22" max="22" width="16" style="6" bestFit="1" customWidth="1"/>
    <col min="23" max="29" width="15.33203125" style="6" customWidth="1"/>
    <col min="30" max="30" width="16.88671875" style="6" bestFit="1" customWidth="1"/>
    <col min="31" max="32" width="15.33203125" style="6" hidden="1" customWidth="1" outlineLevel="1"/>
    <col min="33" max="33" width="15.33203125" style="6" customWidth="1" collapsed="1"/>
    <col min="34" max="34" width="17.109375" style="6" customWidth="1"/>
    <col min="35" max="35" width="15.33203125" style="6" customWidth="1"/>
    <col min="36" max="36" width="14.88671875" style="6" customWidth="1"/>
    <col min="37" max="45" width="15.33203125" style="6" customWidth="1"/>
    <col min="46" max="46" width="16" style="6" customWidth="1"/>
    <col min="47" max="47" width="15.33203125" style="6" customWidth="1"/>
    <col min="48" max="48" width="16" style="6" customWidth="1"/>
    <col min="49" max="51" width="15.33203125" style="6" customWidth="1"/>
    <col min="52" max="52" width="18.109375" style="6" customWidth="1"/>
    <col min="53" max="53" width="15.33203125" style="6" customWidth="1"/>
    <col min="54" max="54" width="16" style="6" customWidth="1"/>
    <col min="55" max="60" width="15.33203125" style="6" customWidth="1"/>
    <col min="61" max="62" width="15.33203125" style="6" customWidth="1" outlineLevel="1"/>
    <col min="63" max="63" width="16.33203125" style="6" bestFit="1" customWidth="1"/>
    <col min="64" max="64" width="17.33203125" style="6" bestFit="1" customWidth="1"/>
    <col min="65" max="65" width="15.88671875" style="6" bestFit="1" customWidth="1"/>
    <col min="66" max="71" width="9.109375" style="6"/>
    <col min="72" max="72" width="11.5546875" style="6" bestFit="1" customWidth="1"/>
    <col min="73" max="16384" width="9.109375" style="6"/>
  </cols>
  <sheetData>
    <row r="1" spans="1:64" x14ac:dyDescent="0.25">
      <c r="A1" s="175" t="s">
        <v>45</v>
      </c>
      <c r="C1" s="175"/>
      <c r="M1" s="175"/>
      <c r="AI1" s="175"/>
      <c r="AJ1" s="175"/>
      <c r="AK1" s="175"/>
      <c r="AL1" s="175"/>
      <c r="AM1" s="175"/>
      <c r="AO1" s="175"/>
      <c r="AP1" s="175"/>
      <c r="AQ1" s="175"/>
      <c r="AR1" s="175"/>
      <c r="AT1" s="175"/>
      <c r="AU1" s="175"/>
      <c r="AW1" s="175"/>
      <c r="AX1" s="175"/>
      <c r="AY1" s="175"/>
      <c r="AZ1" s="175"/>
      <c r="BA1" s="175"/>
      <c r="BB1" s="175"/>
      <c r="BC1" s="175"/>
      <c r="BF1" s="175"/>
      <c r="BG1" s="175"/>
      <c r="BH1" s="175"/>
      <c r="BI1" s="175"/>
      <c r="BJ1" s="175"/>
      <c r="BL1" s="175"/>
    </row>
    <row r="2" spans="1:64" ht="13.8" x14ac:dyDescent="0.25">
      <c r="A2" s="175" t="s">
        <v>267</v>
      </c>
      <c r="C2" s="175"/>
      <c r="K2" s="25" t="s">
        <v>786</v>
      </c>
      <c r="L2" s="27"/>
      <c r="U2" s="25" t="s">
        <v>787</v>
      </c>
      <c r="V2" s="27"/>
      <c r="AH2" s="25" t="s">
        <v>788</v>
      </c>
      <c r="AI2" s="27"/>
      <c r="AM2" s="175"/>
      <c r="AN2" s="175"/>
      <c r="AO2" s="175"/>
      <c r="AP2" s="175"/>
      <c r="AQ2" s="175"/>
      <c r="AR2" s="25" t="s">
        <v>789</v>
      </c>
      <c r="AS2" s="27"/>
      <c r="AX2" s="175"/>
      <c r="AY2" s="175"/>
      <c r="AZ2" s="175"/>
      <c r="BA2" s="175"/>
      <c r="BB2" s="25" t="s">
        <v>790</v>
      </c>
      <c r="BC2" s="27"/>
      <c r="BH2" s="175"/>
      <c r="BI2" s="175"/>
      <c r="BJ2" s="175"/>
      <c r="BK2" s="25" t="s">
        <v>791</v>
      </c>
      <c r="BL2" s="27"/>
    </row>
    <row r="3" spans="1:64" x14ac:dyDescent="0.25">
      <c r="A3" s="175" t="s">
        <v>268</v>
      </c>
      <c r="C3" s="175"/>
    </row>
    <row r="4" spans="1:64" x14ac:dyDescent="0.25">
      <c r="A4" s="175" t="str">
        <f>CASE_E</f>
        <v>2019 GENERAL RATE CASE</v>
      </c>
      <c r="C4" s="175"/>
      <c r="BB4" s="9"/>
    </row>
    <row r="5" spans="1:64" x14ac:dyDescent="0.25">
      <c r="A5" s="175" t="str">
        <f>TESTYEAR_E</f>
        <v>12 MONTHS ENDED DECEMBER 31, 2018</v>
      </c>
      <c r="C5" s="175"/>
      <c r="AH5" s="175"/>
      <c r="AI5" s="175"/>
      <c r="AJ5" s="175"/>
      <c r="AK5" s="175"/>
      <c r="AL5" s="175"/>
      <c r="AM5" s="175"/>
      <c r="AN5" s="175"/>
      <c r="AO5" s="175"/>
      <c r="AP5" s="175"/>
      <c r="AQ5" s="175"/>
      <c r="AR5" s="175"/>
      <c r="AS5" s="175"/>
      <c r="AT5" s="175"/>
      <c r="AU5" s="175"/>
      <c r="AV5" s="175"/>
      <c r="AW5" s="175"/>
      <c r="AX5" s="175"/>
      <c r="AY5" s="175"/>
      <c r="AZ5" s="175"/>
      <c r="BA5" s="175"/>
      <c r="BB5" s="175"/>
      <c r="BC5" s="175"/>
      <c r="BD5" s="175"/>
      <c r="BE5" s="175"/>
      <c r="BF5" s="175"/>
      <c r="BG5" s="175"/>
      <c r="BH5" s="175"/>
      <c r="BI5" s="175"/>
      <c r="BJ5" s="175"/>
    </row>
    <row r="6" spans="1:64" x14ac:dyDescent="0.25">
      <c r="D6" s="7" t="s">
        <v>198</v>
      </c>
      <c r="E6" s="7" t="s">
        <v>198</v>
      </c>
      <c r="F6" s="7" t="s">
        <v>198</v>
      </c>
      <c r="G6" s="7" t="s">
        <v>198</v>
      </c>
      <c r="H6" s="7" t="s">
        <v>198</v>
      </c>
      <c r="I6" s="7" t="s">
        <v>198</v>
      </c>
      <c r="J6" s="7" t="s">
        <v>198</v>
      </c>
      <c r="K6" s="7" t="s">
        <v>198</v>
      </c>
      <c r="L6" s="7" t="s">
        <v>198</v>
      </c>
      <c r="M6" s="7" t="s">
        <v>198</v>
      </c>
      <c r="N6" s="7" t="s">
        <v>198</v>
      </c>
      <c r="O6" s="7" t="s">
        <v>198</v>
      </c>
      <c r="P6" s="7" t="s">
        <v>198</v>
      </c>
      <c r="Q6" s="7" t="s">
        <v>198</v>
      </c>
      <c r="R6" s="7" t="s">
        <v>198</v>
      </c>
      <c r="S6" s="7" t="s">
        <v>198</v>
      </c>
      <c r="T6" s="7" t="s">
        <v>198</v>
      </c>
      <c r="U6" s="7" t="s">
        <v>198</v>
      </c>
      <c r="V6" s="7" t="s">
        <v>198</v>
      </c>
      <c r="W6" s="7" t="s">
        <v>198</v>
      </c>
      <c r="X6" s="7" t="s">
        <v>198</v>
      </c>
      <c r="Y6" s="7" t="s">
        <v>199</v>
      </c>
      <c r="Z6" s="7" t="s">
        <v>199</v>
      </c>
      <c r="AA6" s="7" t="s">
        <v>199</v>
      </c>
      <c r="AB6" s="7" t="s">
        <v>199</v>
      </c>
      <c r="AC6" s="7" t="s">
        <v>199</v>
      </c>
      <c r="AD6" s="7" t="s">
        <v>199</v>
      </c>
      <c r="AE6" s="7" t="s">
        <v>199</v>
      </c>
      <c r="AF6" s="7" t="s">
        <v>199</v>
      </c>
      <c r="AI6" s="7" t="s">
        <v>198</v>
      </c>
      <c r="AJ6" s="7" t="s">
        <v>198</v>
      </c>
      <c r="AK6" s="7" t="s">
        <v>198</v>
      </c>
      <c r="AL6" s="7" t="s">
        <v>198</v>
      </c>
      <c r="AM6" s="7" t="s">
        <v>198</v>
      </c>
      <c r="AN6" s="7" t="s">
        <v>198</v>
      </c>
      <c r="AO6" s="7" t="s">
        <v>198</v>
      </c>
      <c r="AP6" s="7" t="s">
        <v>198</v>
      </c>
      <c r="AQ6" s="7" t="s">
        <v>198</v>
      </c>
      <c r="AR6" s="7" t="s">
        <v>198</v>
      </c>
      <c r="AS6" s="7" t="s">
        <v>198</v>
      </c>
      <c r="AT6" s="7" t="s">
        <v>198</v>
      </c>
      <c r="AU6" s="7" t="s">
        <v>198</v>
      </c>
      <c r="AV6" s="7" t="s">
        <v>198</v>
      </c>
      <c r="AW6" s="7" t="s">
        <v>198</v>
      </c>
      <c r="AX6" s="7" t="s">
        <v>198</v>
      </c>
      <c r="AY6" s="7" t="s">
        <v>198</v>
      </c>
      <c r="AZ6" s="7" t="s">
        <v>198</v>
      </c>
      <c r="BA6" s="7" t="s">
        <v>198</v>
      </c>
      <c r="BB6" s="7" t="s">
        <v>199</v>
      </c>
      <c r="BC6" s="7" t="s">
        <v>199</v>
      </c>
      <c r="BD6" s="7" t="s">
        <v>199</v>
      </c>
      <c r="BE6" s="7" t="s">
        <v>199</v>
      </c>
      <c r="BF6" s="7" t="s">
        <v>199</v>
      </c>
      <c r="BG6" s="7" t="s">
        <v>199</v>
      </c>
      <c r="BH6" s="7" t="s">
        <v>199</v>
      </c>
      <c r="BI6" s="7" t="s">
        <v>199</v>
      </c>
      <c r="BJ6" s="7" t="s">
        <v>199</v>
      </c>
    </row>
    <row r="7" spans="1:64" x14ac:dyDescent="0.25">
      <c r="D7" s="7" t="s">
        <v>246</v>
      </c>
      <c r="E7" s="7" t="s">
        <v>246</v>
      </c>
      <c r="F7" s="7" t="s">
        <v>246</v>
      </c>
      <c r="G7" s="7" t="s">
        <v>246</v>
      </c>
      <c r="H7" s="7" t="s">
        <v>246</v>
      </c>
      <c r="I7" s="7" t="s">
        <v>246</v>
      </c>
      <c r="J7" s="7" t="s">
        <v>246</v>
      </c>
      <c r="K7" s="7" t="s">
        <v>246</v>
      </c>
      <c r="L7" s="7" t="s">
        <v>246</v>
      </c>
      <c r="M7" s="7" t="s">
        <v>246</v>
      </c>
      <c r="N7" s="7" t="s">
        <v>246</v>
      </c>
      <c r="O7" s="7" t="s">
        <v>246</v>
      </c>
      <c r="P7" s="7" t="s">
        <v>246</v>
      </c>
      <c r="Q7" s="7" t="s">
        <v>246</v>
      </c>
      <c r="R7" s="7" t="s">
        <v>246</v>
      </c>
      <c r="S7" s="7" t="s">
        <v>246</v>
      </c>
      <c r="T7" s="7" t="s">
        <v>246</v>
      </c>
      <c r="U7" s="7" t="s">
        <v>246</v>
      </c>
      <c r="V7" s="7" t="s">
        <v>246</v>
      </c>
      <c r="W7" s="7" t="s">
        <v>246</v>
      </c>
      <c r="X7" s="7" t="s">
        <v>246</v>
      </c>
      <c r="Y7" s="7" t="s">
        <v>246</v>
      </c>
      <c r="Z7" s="7" t="s">
        <v>246</v>
      </c>
      <c r="AA7" s="7" t="s">
        <v>246</v>
      </c>
      <c r="AB7" s="7" t="s">
        <v>246</v>
      </c>
      <c r="AC7" s="7" t="s">
        <v>246</v>
      </c>
      <c r="AD7" s="7" t="s">
        <v>246</v>
      </c>
      <c r="AE7" s="7" t="s">
        <v>246</v>
      </c>
      <c r="AF7" s="7" t="s">
        <v>246</v>
      </c>
      <c r="AI7" s="7" t="s">
        <v>93</v>
      </c>
      <c r="AJ7" s="7" t="s">
        <v>93</v>
      </c>
      <c r="AK7" s="7" t="s">
        <v>93</v>
      </c>
      <c r="AL7" s="7" t="s">
        <v>93</v>
      </c>
      <c r="AM7" s="7" t="s">
        <v>93</v>
      </c>
      <c r="AN7" s="7" t="s">
        <v>93</v>
      </c>
      <c r="AO7" s="7" t="s">
        <v>93</v>
      </c>
      <c r="AP7" s="7" t="s">
        <v>93</v>
      </c>
      <c r="AQ7" s="7" t="s">
        <v>93</v>
      </c>
      <c r="AR7" s="7" t="s">
        <v>93</v>
      </c>
      <c r="AS7" s="7" t="s">
        <v>93</v>
      </c>
      <c r="AT7" s="7" t="s">
        <v>93</v>
      </c>
      <c r="AU7" s="7" t="s">
        <v>93</v>
      </c>
      <c r="AV7" s="7" t="s">
        <v>93</v>
      </c>
      <c r="AW7" s="7" t="s">
        <v>93</v>
      </c>
      <c r="AX7" s="7" t="s">
        <v>93</v>
      </c>
      <c r="AY7" s="7" t="s">
        <v>93</v>
      </c>
      <c r="AZ7" s="7" t="s">
        <v>93</v>
      </c>
      <c r="BA7" s="7" t="s">
        <v>93</v>
      </c>
      <c r="BB7" s="7" t="s">
        <v>93</v>
      </c>
      <c r="BC7" s="7" t="s">
        <v>93</v>
      </c>
      <c r="BD7" s="7" t="s">
        <v>93</v>
      </c>
      <c r="BE7" s="7" t="s">
        <v>93</v>
      </c>
      <c r="BF7" s="7" t="s">
        <v>93</v>
      </c>
      <c r="BG7" s="7" t="s">
        <v>93</v>
      </c>
      <c r="BH7" s="7" t="s">
        <v>93</v>
      </c>
      <c r="BI7" s="7" t="s">
        <v>93</v>
      </c>
      <c r="BJ7" s="7" t="s">
        <v>93</v>
      </c>
    </row>
    <row r="8" spans="1:64" x14ac:dyDescent="0.25">
      <c r="U8" s="289"/>
      <c r="AL8" s="7" t="s">
        <v>353</v>
      </c>
      <c r="AM8" s="7" t="s">
        <v>353</v>
      </c>
    </row>
    <row r="9" spans="1:64" x14ac:dyDescent="0.25">
      <c r="C9" s="289" t="s">
        <v>40</v>
      </c>
      <c r="D9" s="529">
        <v>20.010000000000002</v>
      </c>
      <c r="E9" s="529">
        <f t="shared" ref="E9:V9" si="0">+D9+0.01</f>
        <v>20.020000000000003</v>
      </c>
      <c r="F9" s="529">
        <f t="shared" si="0"/>
        <v>20.030000000000005</v>
      </c>
      <c r="G9" s="529">
        <f t="shared" si="0"/>
        <v>20.040000000000006</v>
      </c>
      <c r="H9" s="529">
        <f t="shared" si="0"/>
        <v>20.050000000000008</v>
      </c>
      <c r="I9" s="529">
        <f t="shared" si="0"/>
        <v>20.060000000000009</v>
      </c>
      <c r="J9" s="529">
        <f t="shared" si="0"/>
        <v>20.070000000000011</v>
      </c>
      <c r="K9" s="529">
        <f t="shared" si="0"/>
        <v>20.080000000000013</v>
      </c>
      <c r="L9" s="529">
        <f t="shared" si="0"/>
        <v>20.090000000000014</v>
      </c>
      <c r="M9" s="529">
        <f t="shared" si="0"/>
        <v>20.100000000000016</v>
      </c>
      <c r="N9" s="529">
        <f t="shared" si="0"/>
        <v>20.110000000000017</v>
      </c>
      <c r="O9" s="529">
        <f t="shared" si="0"/>
        <v>20.120000000000019</v>
      </c>
      <c r="P9" s="529">
        <f t="shared" si="0"/>
        <v>20.13000000000002</v>
      </c>
      <c r="Q9" s="529">
        <f t="shared" si="0"/>
        <v>20.140000000000022</v>
      </c>
      <c r="R9" s="529">
        <f t="shared" si="0"/>
        <v>20.150000000000023</v>
      </c>
      <c r="S9" s="529">
        <f t="shared" si="0"/>
        <v>20.160000000000025</v>
      </c>
      <c r="T9" s="529">
        <f t="shared" si="0"/>
        <v>20.170000000000027</v>
      </c>
      <c r="U9" s="529">
        <f t="shared" si="0"/>
        <v>20.180000000000028</v>
      </c>
      <c r="V9" s="529">
        <f t="shared" si="0"/>
        <v>20.19000000000003</v>
      </c>
      <c r="W9" s="529">
        <v>20.23</v>
      </c>
      <c r="X9" s="529">
        <v>20.3</v>
      </c>
      <c r="Y9" s="529">
        <v>21.01</v>
      </c>
      <c r="Z9" s="529">
        <f>+Y9+0.01</f>
        <v>21.020000000000003</v>
      </c>
      <c r="AA9" s="529">
        <f>+Z9+0.01</f>
        <v>21.030000000000005</v>
      </c>
      <c r="AB9" s="529">
        <f>+AA9+0.01</f>
        <v>21.040000000000006</v>
      </c>
      <c r="AC9" s="529">
        <f>+AB9+0.01</f>
        <v>21.050000000000008</v>
      </c>
      <c r="AD9" s="529">
        <f>AC9+0.02</f>
        <v>21.070000000000007</v>
      </c>
      <c r="AE9" s="529">
        <v>0</v>
      </c>
      <c r="AF9" s="529">
        <v>0</v>
      </c>
      <c r="AG9" s="530" t="s">
        <v>66</v>
      </c>
      <c r="AH9" s="530" t="s">
        <v>105</v>
      </c>
      <c r="AI9" s="531">
        <f>+D9</f>
        <v>20.010000000000002</v>
      </c>
      <c r="AJ9" s="531">
        <f>+E9</f>
        <v>20.020000000000003</v>
      </c>
      <c r="AK9" s="531">
        <f>+G9</f>
        <v>20.040000000000006</v>
      </c>
      <c r="AL9" s="531">
        <f>+L9</f>
        <v>20.090000000000014</v>
      </c>
      <c r="AM9" s="531">
        <f>+M9</f>
        <v>20.100000000000016</v>
      </c>
      <c r="AN9" s="531">
        <v>20.14</v>
      </c>
      <c r="AO9" s="531">
        <v>20.149999999999999</v>
      </c>
      <c r="AP9" s="531">
        <f>+AO9+0.01</f>
        <v>20.16</v>
      </c>
      <c r="AQ9" s="531">
        <f>+AP9+0.01</f>
        <v>20.170000000000002</v>
      </c>
      <c r="AR9" s="531">
        <v>20.2</v>
      </c>
      <c r="AS9" s="531">
        <f>+AR9+0.01</f>
        <v>20.21</v>
      </c>
      <c r="AT9" s="531">
        <f t="shared" ref="AT9:BA9" si="1">+AS9+0.01</f>
        <v>20.220000000000002</v>
      </c>
      <c r="AU9" s="531">
        <f t="shared" si="1"/>
        <v>20.230000000000004</v>
      </c>
      <c r="AV9" s="531">
        <f t="shared" si="1"/>
        <v>20.240000000000006</v>
      </c>
      <c r="AW9" s="531">
        <f t="shared" si="1"/>
        <v>20.250000000000007</v>
      </c>
      <c r="AX9" s="531">
        <f t="shared" si="1"/>
        <v>20.260000000000009</v>
      </c>
      <c r="AY9" s="531">
        <f t="shared" si="1"/>
        <v>20.27000000000001</v>
      </c>
      <c r="AZ9" s="531">
        <f t="shared" si="1"/>
        <v>20.280000000000012</v>
      </c>
      <c r="BA9" s="531">
        <f t="shared" si="1"/>
        <v>20.290000000000013</v>
      </c>
      <c r="BB9" s="531">
        <f>+'Detailed Summary'!Y9</f>
        <v>21.01</v>
      </c>
      <c r="BC9" s="531">
        <f>+'Detailed Summary'!Z9</f>
        <v>21.020000000000003</v>
      </c>
      <c r="BD9" s="531">
        <f>+AC9</f>
        <v>21.050000000000008</v>
      </c>
      <c r="BE9" s="531">
        <f>+BD9+0.01</f>
        <v>21.060000000000009</v>
      </c>
      <c r="BF9" s="531">
        <v>21.08</v>
      </c>
      <c r="BG9" s="531">
        <v>21.09</v>
      </c>
      <c r="BH9" s="531">
        <v>21.1</v>
      </c>
      <c r="BI9" s="531">
        <v>21.11</v>
      </c>
      <c r="BJ9" s="531"/>
      <c r="BK9" s="530" t="s">
        <v>66</v>
      </c>
      <c r="BL9" s="530" t="s">
        <v>93</v>
      </c>
    </row>
    <row r="10" spans="1:64" ht="13.5" customHeight="1" x14ac:dyDescent="0.25">
      <c r="A10" s="289" t="s">
        <v>43</v>
      </c>
      <c r="B10" s="289" t="s">
        <v>73</v>
      </c>
      <c r="C10" s="289" t="s">
        <v>41</v>
      </c>
      <c r="D10" s="289" t="s">
        <v>50</v>
      </c>
      <c r="E10" s="289" t="s">
        <v>306</v>
      </c>
      <c r="F10" s="289" t="s">
        <v>51</v>
      </c>
      <c r="G10" s="289" t="s">
        <v>307</v>
      </c>
      <c r="H10" s="289" t="s">
        <v>308</v>
      </c>
      <c r="I10" s="289" t="s">
        <v>309</v>
      </c>
      <c r="J10" s="392" t="s">
        <v>310</v>
      </c>
      <c r="K10" s="289" t="s">
        <v>311</v>
      </c>
      <c r="L10" s="289" t="s">
        <v>312</v>
      </c>
      <c r="M10" s="289" t="s">
        <v>55</v>
      </c>
      <c r="N10" s="289" t="s">
        <v>346</v>
      </c>
      <c r="O10" s="289" t="s">
        <v>313</v>
      </c>
      <c r="P10" s="289" t="s">
        <v>314</v>
      </c>
      <c r="Q10" s="289" t="s">
        <v>386</v>
      </c>
      <c r="R10" s="289" t="s">
        <v>399</v>
      </c>
      <c r="S10" s="289" t="s">
        <v>59</v>
      </c>
      <c r="T10" s="289" t="s">
        <v>60</v>
      </c>
      <c r="U10" s="289" t="s">
        <v>315</v>
      </c>
      <c r="V10" s="289" t="s">
        <v>315</v>
      </c>
      <c r="W10" s="289" t="s">
        <v>316</v>
      </c>
      <c r="X10" s="289" t="s">
        <v>782</v>
      </c>
      <c r="Y10" s="289" t="s">
        <v>46</v>
      </c>
      <c r="Z10" s="289" t="s">
        <v>317</v>
      </c>
      <c r="AA10" s="289" t="s">
        <v>318</v>
      </c>
      <c r="AB10" s="289" t="s">
        <v>49</v>
      </c>
      <c r="AC10" s="289" t="s">
        <v>319</v>
      </c>
      <c r="AD10" s="289" t="s">
        <v>484</v>
      </c>
      <c r="AE10" s="289" t="s">
        <v>250</v>
      </c>
      <c r="AF10" s="289" t="s">
        <v>250</v>
      </c>
      <c r="AG10" s="532" t="s">
        <v>246</v>
      </c>
      <c r="AH10" s="532" t="s">
        <v>41</v>
      </c>
      <c r="AI10" s="289" t="s">
        <v>50</v>
      </c>
      <c r="AJ10" s="289" t="s">
        <v>306</v>
      </c>
      <c r="AK10" s="289" t="s">
        <v>307</v>
      </c>
      <c r="AL10" s="289" t="s">
        <v>312</v>
      </c>
      <c r="AM10" s="289" t="s">
        <v>55</v>
      </c>
      <c r="AN10" s="289" t="s">
        <v>57</v>
      </c>
      <c r="AO10" s="289" t="s">
        <v>58</v>
      </c>
      <c r="AP10" s="289" t="s">
        <v>59</v>
      </c>
      <c r="AQ10" s="289" t="s">
        <v>60</v>
      </c>
      <c r="AR10" s="289" t="s">
        <v>56</v>
      </c>
      <c r="AS10" s="289" t="s">
        <v>338</v>
      </c>
      <c r="AT10" s="289" t="s">
        <v>252</v>
      </c>
      <c r="AU10" s="289" t="s">
        <v>316</v>
      </c>
      <c r="AV10" s="289" t="s">
        <v>467</v>
      </c>
      <c r="AW10" s="289" t="s">
        <v>320</v>
      </c>
      <c r="AX10" s="289" t="s">
        <v>408</v>
      </c>
      <c r="AY10" s="289" t="s">
        <v>410</v>
      </c>
      <c r="AZ10" s="289" t="s">
        <v>440</v>
      </c>
      <c r="BA10" s="289"/>
      <c r="BB10" s="289" t="s">
        <v>46</v>
      </c>
      <c r="BC10" s="289" t="s">
        <v>317</v>
      </c>
      <c r="BD10" s="289" t="s">
        <v>319</v>
      </c>
      <c r="BE10" s="289" t="s">
        <v>321</v>
      </c>
      <c r="BF10" s="289" t="s">
        <v>456</v>
      </c>
      <c r="BG10" s="289" t="s">
        <v>412</v>
      </c>
      <c r="BH10" s="289" t="s">
        <v>449</v>
      </c>
      <c r="BI10" s="289" t="s">
        <v>776</v>
      </c>
      <c r="BJ10" s="289"/>
      <c r="BK10" s="532" t="s">
        <v>247</v>
      </c>
      <c r="BL10" s="532" t="s">
        <v>41</v>
      </c>
    </row>
    <row r="11" spans="1:64" x14ac:dyDescent="0.25">
      <c r="A11" s="289" t="s">
        <v>44</v>
      </c>
      <c r="C11" s="289" t="s">
        <v>42</v>
      </c>
      <c r="D11" s="289" t="s">
        <v>53</v>
      </c>
      <c r="E11" s="289" t="s">
        <v>322</v>
      </c>
      <c r="F11" s="533" t="s">
        <v>54</v>
      </c>
      <c r="G11" s="533" t="s">
        <v>339</v>
      </c>
      <c r="H11" s="289" t="s">
        <v>323</v>
      </c>
      <c r="I11" s="289" t="s">
        <v>324</v>
      </c>
      <c r="J11" s="392" t="s">
        <v>325</v>
      </c>
      <c r="K11" s="289" t="s">
        <v>326</v>
      </c>
      <c r="L11" s="533" t="s">
        <v>327</v>
      </c>
      <c r="M11" s="533" t="s">
        <v>61</v>
      </c>
      <c r="N11" s="533" t="s">
        <v>328</v>
      </c>
      <c r="O11" s="289" t="s">
        <v>329</v>
      </c>
      <c r="P11" s="289" t="s">
        <v>64</v>
      </c>
      <c r="Q11" s="289" t="s">
        <v>387</v>
      </c>
      <c r="R11" s="289" t="s">
        <v>398</v>
      </c>
      <c r="S11" s="289" t="s">
        <v>64</v>
      </c>
      <c r="T11" s="289" t="s">
        <v>394</v>
      </c>
      <c r="U11" s="289" t="s">
        <v>74</v>
      </c>
      <c r="V11" s="289" t="s">
        <v>20</v>
      </c>
      <c r="W11" s="289" t="s">
        <v>330</v>
      </c>
      <c r="X11" s="289" t="s">
        <v>783</v>
      </c>
      <c r="Y11" s="289" t="s">
        <v>47</v>
      </c>
      <c r="Z11" s="289" t="s">
        <v>48</v>
      </c>
      <c r="AA11" s="289" t="s">
        <v>331</v>
      </c>
      <c r="AB11" s="289" t="s">
        <v>332</v>
      </c>
      <c r="AC11" s="289" t="s">
        <v>333</v>
      </c>
      <c r="AD11" s="534" t="s">
        <v>20</v>
      </c>
      <c r="AE11" s="289" t="s">
        <v>334</v>
      </c>
      <c r="AF11" s="289" t="s">
        <v>334</v>
      </c>
      <c r="AG11" s="532" t="s">
        <v>69</v>
      </c>
      <c r="AH11" s="532" t="s">
        <v>71</v>
      </c>
      <c r="AI11" s="289" t="s">
        <v>53</v>
      </c>
      <c r="AJ11" s="289" t="s">
        <v>322</v>
      </c>
      <c r="AK11" s="533" t="s">
        <v>339</v>
      </c>
      <c r="AL11" s="533" t="s">
        <v>327</v>
      </c>
      <c r="AM11" s="533" t="s">
        <v>61</v>
      </c>
      <c r="AN11" s="534" t="s">
        <v>63</v>
      </c>
      <c r="AO11" s="289" t="s">
        <v>65</v>
      </c>
      <c r="AP11" s="289" t="s">
        <v>64</v>
      </c>
      <c r="AQ11" s="289" t="s">
        <v>61</v>
      </c>
      <c r="AR11" s="289" t="s">
        <v>62</v>
      </c>
      <c r="AS11" s="289" t="s">
        <v>200</v>
      </c>
      <c r="AT11" s="289" t="s">
        <v>334</v>
      </c>
      <c r="AU11" s="289" t="s">
        <v>330</v>
      </c>
      <c r="AV11" s="289" t="s">
        <v>468</v>
      </c>
      <c r="AW11" s="289" t="s">
        <v>335</v>
      </c>
      <c r="AX11" s="289" t="s">
        <v>409</v>
      </c>
      <c r="AY11" s="289" t="s">
        <v>411</v>
      </c>
      <c r="AZ11" s="289" t="s">
        <v>441</v>
      </c>
      <c r="BA11" s="289" t="s">
        <v>473</v>
      </c>
      <c r="BB11" s="289" t="s">
        <v>336</v>
      </c>
      <c r="BC11" s="289" t="s">
        <v>48</v>
      </c>
      <c r="BD11" s="289" t="s">
        <v>333</v>
      </c>
      <c r="BE11" s="289" t="s">
        <v>337</v>
      </c>
      <c r="BF11" s="289" t="s">
        <v>401</v>
      </c>
      <c r="BG11" s="289" t="s">
        <v>413</v>
      </c>
      <c r="BH11" s="289" t="s">
        <v>450</v>
      </c>
      <c r="BI11" s="289" t="s">
        <v>775</v>
      </c>
      <c r="BJ11" s="289" t="s">
        <v>250</v>
      </c>
      <c r="BK11" s="532" t="s">
        <v>69</v>
      </c>
      <c r="BL11" s="532" t="s">
        <v>71</v>
      </c>
    </row>
    <row r="12" spans="1:64" x14ac:dyDescent="0.25">
      <c r="C12" s="266" t="s">
        <v>269</v>
      </c>
      <c r="D12" s="7" t="s">
        <v>270</v>
      </c>
      <c r="E12" s="7" t="s">
        <v>555</v>
      </c>
      <c r="F12" s="7" t="s">
        <v>271</v>
      </c>
      <c r="G12" s="7" t="s">
        <v>272</v>
      </c>
      <c r="H12" s="7" t="s">
        <v>273</v>
      </c>
      <c r="I12" s="7" t="s">
        <v>274</v>
      </c>
      <c r="J12" s="7" t="s">
        <v>275</v>
      </c>
      <c r="K12" s="7" t="s">
        <v>276</v>
      </c>
      <c r="L12" s="7" t="s">
        <v>277</v>
      </c>
      <c r="M12" s="7" t="s">
        <v>278</v>
      </c>
      <c r="N12" s="7" t="s">
        <v>279</v>
      </c>
      <c r="O12" s="7" t="s">
        <v>280</v>
      </c>
      <c r="P12" s="7" t="s">
        <v>281</v>
      </c>
      <c r="Q12" s="7" t="s">
        <v>395</v>
      </c>
      <c r="R12" s="7" t="s">
        <v>415</v>
      </c>
      <c r="S12" s="7" t="s">
        <v>416</v>
      </c>
      <c r="T12" s="7" t="s">
        <v>417</v>
      </c>
      <c r="U12" s="7" t="s">
        <v>418</v>
      </c>
      <c r="V12" s="7" t="s">
        <v>419</v>
      </c>
      <c r="W12" s="7" t="s">
        <v>282</v>
      </c>
      <c r="X12" s="7" t="s">
        <v>282</v>
      </c>
      <c r="Y12" s="7" t="s">
        <v>283</v>
      </c>
      <c r="Z12" s="7" t="s">
        <v>420</v>
      </c>
      <c r="AA12" s="7" t="s">
        <v>421</v>
      </c>
      <c r="AB12" s="7" t="s">
        <v>422</v>
      </c>
      <c r="AC12" s="7" t="s">
        <v>423</v>
      </c>
      <c r="AD12" s="7" t="s">
        <v>556</v>
      </c>
      <c r="AE12" s="7" t="s">
        <v>284</v>
      </c>
      <c r="AF12" s="7" t="s">
        <v>285</v>
      </c>
      <c r="AG12" s="176" t="s">
        <v>569</v>
      </c>
      <c r="AH12" s="176" t="s">
        <v>570</v>
      </c>
      <c r="AI12" s="7" t="s">
        <v>571</v>
      </c>
      <c r="AJ12" s="7" t="s">
        <v>425</v>
      </c>
      <c r="AK12" s="7" t="s">
        <v>572</v>
      </c>
      <c r="AL12" s="7" t="s">
        <v>286</v>
      </c>
      <c r="AM12" s="7" t="s">
        <v>287</v>
      </c>
      <c r="AN12" s="7" t="s">
        <v>288</v>
      </c>
      <c r="AO12" s="7" t="s">
        <v>426</v>
      </c>
      <c r="AP12" s="7" t="s">
        <v>427</v>
      </c>
      <c r="AQ12" s="7" t="s">
        <v>289</v>
      </c>
      <c r="AR12" s="7" t="s">
        <v>290</v>
      </c>
      <c r="AS12" s="7" t="s">
        <v>291</v>
      </c>
      <c r="AT12" s="7" t="s">
        <v>292</v>
      </c>
      <c r="AU12" s="7" t="s">
        <v>492</v>
      </c>
      <c r="AV12" s="7" t="s">
        <v>293</v>
      </c>
      <c r="AW12" s="7" t="s">
        <v>294</v>
      </c>
      <c r="AX12" s="7" t="s">
        <v>295</v>
      </c>
      <c r="AY12" s="7" t="s">
        <v>296</v>
      </c>
      <c r="AZ12" s="7" t="s">
        <v>298</v>
      </c>
      <c r="BA12" s="7" t="s">
        <v>297</v>
      </c>
      <c r="BB12" s="7" t="s">
        <v>493</v>
      </c>
      <c r="BC12" s="7" t="s">
        <v>299</v>
      </c>
      <c r="BD12" s="7" t="s">
        <v>300</v>
      </c>
      <c r="BE12" s="7" t="s">
        <v>301</v>
      </c>
      <c r="BF12" s="7" t="s">
        <v>424</v>
      </c>
      <c r="BG12" s="7" t="s">
        <v>302</v>
      </c>
      <c r="BH12" s="7" t="s">
        <v>303</v>
      </c>
      <c r="BI12" s="7" t="s">
        <v>304</v>
      </c>
      <c r="BJ12" s="7" t="s">
        <v>305</v>
      </c>
      <c r="BK12" s="176" t="s">
        <v>573</v>
      </c>
      <c r="BL12" s="176" t="s">
        <v>701</v>
      </c>
    </row>
    <row r="13" spans="1:64" x14ac:dyDescent="0.25">
      <c r="A13" s="266">
        <v>1</v>
      </c>
      <c r="B13" s="316" t="s">
        <v>0</v>
      </c>
      <c r="AG13" s="177"/>
      <c r="AH13" s="177"/>
      <c r="BK13" s="177"/>
      <c r="BL13" s="177"/>
    </row>
    <row r="14" spans="1:64" x14ac:dyDescent="0.25">
      <c r="A14" s="266">
        <f t="shared" ref="A14:A45" si="2">A13+1</f>
        <v>2</v>
      </c>
      <c r="B14" s="316" t="s">
        <v>1</v>
      </c>
      <c r="C14" s="417">
        <v>2165233766.8899999</v>
      </c>
      <c r="D14" s="417">
        <f>'Common Adj'!F23-'Detailed Summary'!D15</f>
        <v>41299982.399803981</v>
      </c>
      <c r="E14" s="417">
        <f>'Common Adj'!N31</f>
        <v>6547835</v>
      </c>
      <c r="F14" s="417"/>
      <c r="G14" s="417"/>
      <c r="H14" s="417">
        <f>SUM('Common Adj'!AL15:AL21,'Common Adj'!AL23,'Common Adj'!AL25,'Common Adj'!AL27,-'Common Adj'!AL18)</f>
        <v>-206435594.02857196</v>
      </c>
      <c r="I14" s="417"/>
      <c r="J14" s="417"/>
      <c r="K14" s="417"/>
      <c r="L14" s="417"/>
      <c r="M14" s="417"/>
      <c r="N14" s="417"/>
      <c r="O14" s="417"/>
      <c r="P14" s="417"/>
      <c r="Q14" s="417"/>
      <c r="R14" s="417"/>
      <c r="S14" s="417"/>
      <c r="T14" s="417"/>
      <c r="U14" s="417"/>
      <c r="V14" s="417"/>
      <c r="W14" s="417"/>
      <c r="X14" s="417"/>
      <c r="Y14" s="417"/>
      <c r="Z14" s="417"/>
      <c r="AA14" s="417"/>
      <c r="AB14" s="417"/>
      <c r="AC14" s="417"/>
      <c r="AD14" s="417"/>
      <c r="AE14" s="417"/>
      <c r="AF14" s="417"/>
      <c r="AG14" s="535">
        <f>SUM(D14:AF14)</f>
        <v>-158587776.62876797</v>
      </c>
      <c r="AH14" s="535">
        <f>+AG14+C14</f>
        <v>2006645990.2612319</v>
      </c>
      <c r="AI14" s="417">
        <f>'Common Adj'!H23-'Detailed Summary'!AI15</f>
        <v>-17794395.48</v>
      </c>
      <c r="AJ14" s="417">
        <f>'Common Adj'!P31</f>
        <v>11401700</v>
      </c>
      <c r="AK14" s="417"/>
      <c r="AL14" s="417"/>
      <c r="AM14" s="417"/>
      <c r="AN14" s="417"/>
      <c r="AO14" s="417"/>
      <c r="AP14" s="417"/>
      <c r="AQ14" s="417"/>
      <c r="AR14" s="417"/>
      <c r="AS14" s="417"/>
      <c r="AT14" s="417"/>
      <c r="AU14" s="417"/>
      <c r="AV14" s="417"/>
      <c r="AW14" s="417"/>
      <c r="AX14" s="417"/>
      <c r="AY14" s="417"/>
      <c r="AZ14" s="417"/>
      <c r="BA14" s="417"/>
      <c r="BB14" s="417"/>
      <c r="BC14" s="417"/>
      <c r="BD14" s="417"/>
      <c r="BE14" s="417"/>
      <c r="BF14" s="417"/>
      <c r="BG14" s="417"/>
      <c r="BH14" s="417"/>
      <c r="BI14" s="417"/>
      <c r="BJ14" s="417"/>
      <c r="BK14" s="535">
        <f>SUM(AI14:BJ14)</f>
        <v>-6392695.4800000004</v>
      </c>
      <c r="BL14" s="535">
        <f>+BK14+AH14</f>
        <v>2000253294.7812319</v>
      </c>
    </row>
    <row r="15" spans="1:64" x14ac:dyDescent="0.25">
      <c r="A15" s="266">
        <f t="shared" si="2"/>
        <v>3</v>
      </c>
      <c r="B15" s="316" t="s">
        <v>2</v>
      </c>
      <c r="C15" s="439">
        <v>340431.51999999897</v>
      </c>
      <c r="D15" s="439">
        <f>'Common Adj'!F21</f>
        <v>114.23000000000138</v>
      </c>
      <c r="E15" s="439">
        <f>'Common Adj'!N30</f>
        <v>3986</v>
      </c>
      <c r="F15" s="439"/>
      <c r="G15" s="439"/>
      <c r="H15" s="439">
        <f>'Common Adj'!AL18</f>
        <v>-16204.59</v>
      </c>
      <c r="I15" s="439"/>
      <c r="J15" s="439"/>
      <c r="K15" s="439"/>
      <c r="L15" s="439"/>
      <c r="M15" s="439"/>
      <c r="N15" s="439"/>
      <c r="O15" s="439"/>
      <c r="P15" s="439"/>
      <c r="Q15" s="439"/>
      <c r="R15" s="439"/>
      <c r="S15" s="439"/>
      <c r="T15" s="439"/>
      <c r="U15" s="439"/>
      <c r="V15" s="439"/>
      <c r="W15" s="439"/>
      <c r="X15" s="439"/>
      <c r="Y15" s="439"/>
      <c r="Z15" s="439"/>
      <c r="AA15" s="439"/>
      <c r="AB15" s="439"/>
      <c r="AC15" s="439"/>
      <c r="AD15" s="439"/>
      <c r="AE15" s="439"/>
      <c r="AF15" s="439"/>
      <c r="AG15" s="536">
        <f>SUM(D15:AF15)</f>
        <v>-12104.359999999999</v>
      </c>
      <c r="AH15" s="536">
        <f>+AG15+C15</f>
        <v>328327.15999999898</v>
      </c>
      <c r="AI15" s="439"/>
      <c r="AJ15" s="439">
        <f>'Common Adj'!P30</f>
        <v>3986</v>
      </c>
      <c r="AK15" s="439"/>
      <c r="AL15" s="439"/>
      <c r="AM15" s="439"/>
      <c r="AN15" s="439"/>
      <c r="AO15" s="439"/>
      <c r="AP15" s="439"/>
      <c r="AQ15" s="439"/>
      <c r="AR15" s="439"/>
      <c r="AS15" s="439"/>
      <c r="AT15" s="439"/>
      <c r="AU15" s="439"/>
      <c r="AV15" s="439"/>
      <c r="AW15" s="439"/>
      <c r="AX15" s="439"/>
      <c r="AY15" s="439"/>
      <c r="AZ15" s="439"/>
      <c r="BA15" s="439"/>
      <c r="BB15" s="439"/>
      <c r="BC15" s="439"/>
      <c r="BD15" s="439"/>
      <c r="BE15" s="439"/>
      <c r="BF15" s="439"/>
      <c r="BG15" s="439"/>
      <c r="BH15" s="439"/>
      <c r="BI15" s="439"/>
      <c r="BJ15" s="439"/>
      <c r="BK15" s="536">
        <f>SUM(AI15:BJ15)</f>
        <v>3986</v>
      </c>
      <c r="BL15" s="536">
        <f>+BK15+AH15</f>
        <v>332313.15999999898</v>
      </c>
    </row>
    <row r="16" spans="1:64" x14ac:dyDescent="0.25">
      <c r="A16" s="266">
        <f t="shared" si="2"/>
        <v>4</v>
      </c>
      <c r="B16" s="316" t="s">
        <v>3</v>
      </c>
      <c r="C16" s="439">
        <v>155333122.24000001</v>
      </c>
      <c r="D16" s="439"/>
      <c r="E16" s="439"/>
      <c r="F16" s="439"/>
      <c r="G16" s="439"/>
      <c r="H16" s="439"/>
      <c r="I16" s="439"/>
      <c r="J16" s="439"/>
      <c r="K16" s="439"/>
      <c r="L16" s="439"/>
      <c r="M16" s="439"/>
      <c r="N16" s="439"/>
      <c r="O16" s="439"/>
      <c r="P16" s="439"/>
      <c r="Q16" s="439"/>
      <c r="R16" s="439"/>
      <c r="S16" s="439"/>
      <c r="T16" s="439"/>
      <c r="U16" s="439"/>
      <c r="V16" s="439"/>
      <c r="W16" s="439"/>
      <c r="X16" s="439"/>
      <c r="Y16" s="439"/>
      <c r="Z16" s="439"/>
      <c r="AA16" s="439"/>
      <c r="AB16" s="439"/>
      <c r="AC16" s="439"/>
      <c r="AD16" s="439"/>
      <c r="AE16" s="439"/>
      <c r="AF16" s="439"/>
      <c r="AG16" s="536">
        <f>SUM(D16:AF16)</f>
        <v>0</v>
      </c>
      <c r="AH16" s="536">
        <f>+AG16+C16</f>
        <v>155333122.24000001</v>
      </c>
      <c r="AI16" s="439"/>
      <c r="AJ16" s="439"/>
      <c r="AK16" s="439"/>
      <c r="AL16" s="439"/>
      <c r="AM16" s="439"/>
      <c r="AN16" s="439"/>
      <c r="AO16" s="439"/>
      <c r="AP16" s="439"/>
      <c r="AQ16" s="439"/>
      <c r="AR16" s="439"/>
      <c r="AS16" s="439"/>
      <c r="AT16" s="439"/>
      <c r="AU16" s="439"/>
      <c r="AV16" s="439"/>
      <c r="AW16" s="439"/>
      <c r="AX16" s="439"/>
      <c r="AY16" s="439"/>
      <c r="AZ16" s="439"/>
      <c r="BA16" s="439"/>
      <c r="BB16" s="439">
        <f>-'Electric Adj'!H22</f>
        <v>-146289483.01756001</v>
      </c>
      <c r="BC16" s="439"/>
      <c r="BD16" s="439"/>
      <c r="BE16" s="439"/>
      <c r="BF16" s="439"/>
      <c r="BG16" s="439"/>
      <c r="BH16" s="439"/>
      <c r="BI16" s="439"/>
      <c r="BJ16" s="439"/>
      <c r="BK16" s="536">
        <f>SUM(AI16:BJ16)</f>
        <v>-146289483.01756001</v>
      </c>
      <c r="BL16" s="536">
        <f>+BK16+AH16</f>
        <v>9043639.2224400043</v>
      </c>
    </row>
    <row r="17" spans="1:72" x14ac:dyDescent="0.25">
      <c r="A17" s="266">
        <f t="shared" si="2"/>
        <v>5</v>
      </c>
      <c r="B17" s="316" t="s">
        <v>4</v>
      </c>
      <c r="C17" s="439">
        <v>122175867.17999999</v>
      </c>
      <c r="D17" s="439">
        <f>'Common Adj'!F31</f>
        <v>2744403.99</v>
      </c>
      <c r="E17" s="439"/>
      <c r="F17" s="439"/>
      <c r="G17" s="439"/>
      <c r="H17" s="439">
        <f>+'Common Adj'!AL22+'Common Adj'!AL24+'Common Adj'!AL26</f>
        <v>15741473.960000001</v>
      </c>
      <c r="I17" s="439"/>
      <c r="J17" s="439"/>
      <c r="K17" s="439"/>
      <c r="L17" s="439"/>
      <c r="M17" s="439"/>
      <c r="N17" s="439"/>
      <c r="O17" s="439"/>
      <c r="P17" s="439"/>
      <c r="Q17" s="439"/>
      <c r="R17" s="439"/>
      <c r="S17" s="439"/>
      <c r="T17" s="439"/>
      <c r="U17" s="439"/>
      <c r="V17" s="439"/>
      <c r="W17" s="439">
        <f>-'Common Adj'!FZ17-'Common Adj'!FZ22</f>
        <v>-858566.13</v>
      </c>
      <c r="X17" s="439">
        <f>-'Common Adj'!GA17-'Common Adj'!GA22</f>
        <v>0</v>
      </c>
      <c r="Y17" s="439"/>
      <c r="Z17" s="439"/>
      <c r="AA17" s="439"/>
      <c r="AB17" s="439"/>
      <c r="AC17" s="439"/>
      <c r="AD17" s="439"/>
      <c r="AE17" s="439"/>
      <c r="AF17" s="439"/>
      <c r="AG17" s="536">
        <f>SUM(D17:AF17)</f>
        <v>17627311.820000004</v>
      </c>
      <c r="AH17" s="536">
        <f>+AG17+C17</f>
        <v>139803179</v>
      </c>
      <c r="AI17" s="439">
        <f>'Common Adj'!H31</f>
        <v>-16381468.550000004</v>
      </c>
      <c r="AJ17" s="439"/>
      <c r="AK17" s="439"/>
      <c r="AL17" s="439"/>
      <c r="AM17" s="439"/>
      <c r="AN17" s="439"/>
      <c r="AO17" s="439"/>
      <c r="AP17" s="439"/>
      <c r="AQ17" s="439"/>
      <c r="AR17" s="439"/>
      <c r="AS17" s="439"/>
      <c r="AT17" s="439"/>
      <c r="AU17" s="439"/>
      <c r="AV17" s="439"/>
      <c r="AW17" s="439"/>
      <c r="AX17" s="439"/>
      <c r="AY17" s="439"/>
      <c r="AZ17" s="439"/>
      <c r="BA17" s="439"/>
      <c r="BB17" s="439">
        <f>-SUM('Electric Adj'!H23+'Electric Adj'!H29)</f>
        <v>-40453405.03977868</v>
      </c>
      <c r="BC17" s="439"/>
      <c r="BD17" s="439"/>
      <c r="BE17" s="439"/>
      <c r="BF17" s="439"/>
      <c r="BG17" s="439"/>
      <c r="BH17" s="439"/>
      <c r="BI17" s="439"/>
      <c r="BJ17" s="439"/>
      <c r="BK17" s="536">
        <f>SUM(AI17:BJ17)</f>
        <v>-56834873.589778684</v>
      </c>
      <c r="BL17" s="536">
        <f>+BK17+AH17</f>
        <v>82968305.410221308</v>
      </c>
    </row>
    <row r="18" spans="1:72" x14ac:dyDescent="0.25">
      <c r="A18" s="266">
        <f t="shared" si="2"/>
        <v>6</v>
      </c>
      <c r="B18" s="316" t="s">
        <v>5</v>
      </c>
      <c r="C18" s="23">
        <f t="shared" ref="C18:AI18" si="3">SUM(C14:C17)</f>
        <v>2443083187.8299994</v>
      </c>
      <c r="D18" s="23">
        <f t="shared" si="3"/>
        <v>44044500.61980398</v>
      </c>
      <c r="E18" s="23">
        <f t="shared" si="3"/>
        <v>6551821</v>
      </c>
      <c r="F18" s="23">
        <f t="shared" si="3"/>
        <v>0</v>
      </c>
      <c r="G18" s="23">
        <f t="shared" si="3"/>
        <v>0</v>
      </c>
      <c r="H18" s="23">
        <f t="shared" si="3"/>
        <v>-190710324.65857196</v>
      </c>
      <c r="I18" s="23">
        <f t="shared" si="3"/>
        <v>0</v>
      </c>
      <c r="J18" s="23">
        <f t="shared" si="3"/>
        <v>0</v>
      </c>
      <c r="K18" s="23">
        <f t="shared" si="3"/>
        <v>0</v>
      </c>
      <c r="L18" s="23">
        <f t="shared" si="3"/>
        <v>0</v>
      </c>
      <c r="M18" s="23">
        <f t="shared" si="3"/>
        <v>0</v>
      </c>
      <c r="N18" s="23">
        <f t="shared" si="3"/>
        <v>0</v>
      </c>
      <c r="O18" s="23">
        <f t="shared" si="3"/>
        <v>0</v>
      </c>
      <c r="P18" s="23">
        <f t="shared" si="3"/>
        <v>0</v>
      </c>
      <c r="Q18" s="23">
        <f t="shared" si="3"/>
        <v>0</v>
      </c>
      <c r="R18" s="23">
        <f t="shared" si="3"/>
        <v>0</v>
      </c>
      <c r="S18" s="23">
        <f t="shared" si="3"/>
        <v>0</v>
      </c>
      <c r="T18" s="23">
        <f t="shared" si="3"/>
        <v>0</v>
      </c>
      <c r="U18" s="23">
        <f t="shared" si="3"/>
        <v>0</v>
      </c>
      <c r="V18" s="23">
        <f t="shared" si="3"/>
        <v>0</v>
      </c>
      <c r="W18" s="23">
        <f t="shared" si="3"/>
        <v>-858566.13</v>
      </c>
      <c r="X18" s="23">
        <f t="shared" ref="X18" si="4">SUM(X14:X17)</f>
        <v>0</v>
      </c>
      <c r="Y18" s="23">
        <f t="shared" si="3"/>
        <v>0</v>
      </c>
      <c r="Z18" s="23">
        <f t="shared" si="3"/>
        <v>0</v>
      </c>
      <c r="AA18" s="23">
        <f t="shared" si="3"/>
        <v>0</v>
      </c>
      <c r="AB18" s="23">
        <f t="shared" si="3"/>
        <v>0</v>
      </c>
      <c r="AC18" s="23">
        <f t="shared" si="3"/>
        <v>0</v>
      </c>
      <c r="AD18" s="23">
        <f t="shared" si="3"/>
        <v>0</v>
      </c>
      <c r="AE18" s="23">
        <f t="shared" si="3"/>
        <v>0</v>
      </c>
      <c r="AF18" s="23">
        <f t="shared" si="3"/>
        <v>0</v>
      </c>
      <c r="AG18" s="178">
        <f t="shared" si="3"/>
        <v>-140972569.16876799</v>
      </c>
      <c r="AH18" s="178">
        <f t="shared" si="3"/>
        <v>2302110618.661232</v>
      </c>
      <c r="AI18" s="23">
        <f t="shared" si="3"/>
        <v>-34175864.030000001</v>
      </c>
      <c r="AJ18" s="23">
        <f t="shared" ref="AJ18:BL18" si="5">SUM(AJ14:AJ17)</f>
        <v>11405686</v>
      </c>
      <c r="AK18" s="23">
        <f t="shared" si="5"/>
        <v>0</v>
      </c>
      <c r="AL18" s="23">
        <f t="shared" si="5"/>
        <v>0</v>
      </c>
      <c r="AM18" s="23">
        <f t="shared" si="5"/>
        <v>0</v>
      </c>
      <c r="AN18" s="23">
        <f t="shared" si="5"/>
        <v>0</v>
      </c>
      <c r="AO18" s="23">
        <f t="shared" si="5"/>
        <v>0</v>
      </c>
      <c r="AP18" s="23">
        <f t="shared" si="5"/>
        <v>0</v>
      </c>
      <c r="AQ18" s="23">
        <f t="shared" si="5"/>
        <v>0</v>
      </c>
      <c r="AR18" s="23">
        <f t="shared" si="5"/>
        <v>0</v>
      </c>
      <c r="AS18" s="23">
        <f t="shared" si="5"/>
        <v>0</v>
      </c>
      <c r="AT18" s="23">
        <f t="shared" si="5"/>
        <v>0</v>
      </c>
      <c r="AU18" s="23">
        <f t="shared" si="5"/>
        <v>0</v>
      </c>
      <c r="AV18" s="23">
        <f t="shared" si="5"/>
        <v>0</v>
      </c>
      <c r="AW18" s="23">
        <f t="shared" si="5"/>
        <v>0</v>
      </c>
      <c r="AX18" s="23">
        <f t="shared" si="5"/>
        <v>0</v>
      </c>
      <c r="AY18" s="23">
        <f t="shared" si="5"/>
        <v>0</v>
      </c>
      <c r="AZ18" s="23">
        <f t="shared" si="5"/>
        <v>0</v>
      </c>
      <c r="BA18" s="23">
        <f t="shared" si="5"/>
        <v>0</v>
      </c>
      <c r="BB18" s="23">
        <f t="shared" si="5"/>
        <v>-186742888.05733868</v>
      </c>
      <c r="BC18" s="23">
        <f t="shared" si="5"/>
        <v>0</v>
      </c>
      <c r="BD18" s="23">
        <f t="shared" si="5"/>
        <v>0</v>
      </c>
      <c r="BE18" s="23">
        <f t="shared" si="5"/>
        <v>0</v>
      </c>
      <c r="BF18" s="23">
        <f t="shared" si="5"/>
        <v>0</v>
      </c>
      <c r="BG18" s="23">
        <f t="shared" si="5"/>
        <v>0</v>
      </c>
      <c r="BH18" s="23">
        <f t="shared" si="5"/>
        <v>0</v>
      </c>
      <c r="BI18" s="23">
        <f t="shared" si="5"/>
        <v>0</v>
      </c>
      <c r="BJ18" s="23">
        <f t="shared" si="5"/>
        <v>0</v>
      </c>
      <c r="BK18" s="178">
        <f t="shared" si="5"/>
        <v>-209513066.08733869</v>
      </c>
      <c r="BL18" s="178">
        <f t="shared" si="5"/>
        <v>2092597552.5738933</v>
      </c>
    </row>
    <row r="19" spans="1:72" s="179" customFormat="1" x14ac:dyDescent="0.25">
      <c r="A19" s="266">
        <f t="shared" si="2"/>
        <v>7</v>
      </c>
      <c r="B19" s="537"/>
      <c r="C19" s="439"/>
      <c r="D19" s="439"/>
      <c r="E19" s="439"/>
      <c r="F19" s="439"/>
      <c r="G19" s="439"/>
      <c r="H19" s="439"/>
      <c r="I19" s="439"/>
      <c r="J19" s="439"/>
      <c r="K19" s="439"/>
      <c r="L19" s="439"/>
      <c r="M19" s="439"/>
      <c r="N19" s="439"/>
      <c r="O19" s="439"/>
      <c r="P19" s="439"/>
      <c r="Q19" s="439"/>
      <c r="R19" s="439"/>
      <c r="S19" s="439"/>
      <c r="T19" s="439"/>
      <c r="U19" s="439"/>
      <c r="V19" s="439"/>
      <c r="W19" s="439"/>
      <c r="X19" s="439"/>
      <c r="Y19" s="439"/>
      <c r="Z19" s="439"/>
      <c r="AA19" s="439"/>
      <c r="AB19" s="439"/>
      <c r="AC19" s="439"/>
      <c r="AD19" s="439"/>
      <c r="AE19" s="439"/>
      <c r="AF19" s="439"/>
      <c r="AG19" s="536"/>
      <c r="AH19" s="536"/>
      <c r="AI19" s="439"/>
      <c r="AJ19" s="439"/>
      <c r="AK19" s="439"/>
      <c r="AL19" s="439"/>
      <c r="AM19" s="439"/>
      <c r="AN19" s="439"/>
      <c r="AO19" s="439"/>
      <c r="AP19" s="439"/>
      <c r="AQ19" s="439"/>
      <c r="AR19" s="439"/>
      <c r="AS19" s="439"/>
      <c r="AT19" s="439"/>
      <c r="AU19" s="439"/>
      <c r="AV19" s="439"/>
      <c r="AW19" s="439"/>
      <c r="AX19" s="439"/>
      <c r="AY19" s="439"/>
      <c r="AZ19" s="439"/>
      <c r="BA19" s="439"/>
      <c r="BB19" s="439"/>
      <c r="BC19" s="439"/>
      <c r="BD19" s="439"/>
      <c r="BE19" s="439"/>
      <c r="BF19" s="439"/>
      <c r="BG19" s="439"/>
      <c r="BH19" s="439"/>
      <c r="BI19" s="439"/>
      <c r="BJ19" s="439"/>
      <c r="BK19" s="536"/>
      <c r="BL19" s="536"/>
    </row>
    <row r="20" spans="1:72" x14ac:dyDescent="0.25">
      <c r="A20" s="266">
        <f t="shared" si="2"/>
        <v>8</v>
      </c>
      <c r="B20" s="316" t="s">
        <v>6</v>
      </c>
      <c r="AG20" s="177"/>
      <c r="AH20" s="177"/>
      <c r="BK20" s="177"/>
      <c r="BL20" s="177"/>
    </row>
    <row r="21" spans="1:72" x14ac:dyDescent="0.25">
      <c r="A21" s="266">
        <f t="shared" si="2"/>
        <v>9</v>
      </c>
      <c r="B21" s="1"/>
      <c r="AG21" s="177"/>
      <c r="AH21" s="177"/>
      <c r="BK21" s="177"/>
      <c r="BL21" s="177"/>
    </row>
    <row r="22" spans="1:72" x14ac:dyDescent="0.25">
      <c r="A22" s="266">
        <f t="shared" si="2"/>
        <v>10</v>
      </c>
      <c r="B22" s="316" t="s">
        <v>7</v>
      </c>
      <c r="C22" s="417"/>
      <c r="AG22" s="177"/>
      <c r="AH22" s="177"/>
      <c r="BK22" s="177"/>
      <c r="BL22" s="177"/>
    </row>
    <row r="23" spans="1:72" x14ac:dyDescent="0.25">
      <c r="A23" s="266">
        <f t="shared" si="2"/>
        <v>11</v>
      </c>
      <c r="B23" s="316" t="s">
        <v>8</v>
      </c>
      <c r="C23" s="8">
        <v>204174130.28999999</v>
      </c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>
        <f>SUM('Electric Adj'!F16:F17)</f>
        <v>1063362.3599999994</v>
      </c>
      <c r="Z23" s="8"/>
      <c r="AA23" s="8"/>
      <c r="AB23" s="8"/>
      <c r="AC23" s="8"/>
      <c r="AD23" s="8"/>
      <c r="AE23" s="8"/>
      <c r="AF23" s="8"/>
      <c r="AG23" s="180">
        <f>SUM(D23:AF23)</f>
        <v>1063362.3599999994</v>
      </c>
      <c r="AH23" s="180">
        <f>+AG23+C23</f>
        <v>205237492.64999998</v>
      </c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>
        <f>SUM('Electric Adj'!H16:H17)</f>
        <v>-41222167.660297595</v>
      </c>
      <c r="BC23" s="8"/>
      <c r="BD23" s="8"/>
      <c r="BE23" s="8"/>
      <c r="BF23" s="8"/>
      <c r="BG23" s="8"/>
      <c r="BH23" s="8"/>
      <c r="BI23" s="8"/>
      <c r="BJ23" s="8"/>
      <c r="BK23" s="180">
        <f>SUM(AI23:BJ23)</f>
        <v>-41222167.660297595</v>
      </c>
      <c r="BL23" s="180">
        <f>+BK23+AH23</f>
        <v>164015324.98970237</v>
      </c>
    </row>
    <row r="24" spans="1:72" x14ac:dyDescent="0.25">
      <c r="A24" s="266">
        <f t="shared" si="2"/>
        <v>12</v>
      </c>
      <c r="B24" s="316" t="s">
        <v>9</v>
      </c>
      <c r="C24" s="439">
        <v>591842797.56999886</v>
      </c>
      <c r="D24" s="439"/>
      <c r="E24" s="439"/>
      <c r="F24" s="439"/>
      <c r="G24" s="439"/>
      <c r="H24" s="439">
        <f>+'Common Adj'!AL43</f>
        <v>0</v>
      </c>
      <c r="I24" s="439"/>
      <c r="J24" s="439"/>
      <c r="K24" s="439">
        <f>'Common Adj'!BJ15</f>
        <v>-12929.322150284017</v>
      </c>
      <c r="L24" s="439"/>
      <c r="M24" s="439"/>
      <c r="N24" s="439"/>
      <c r="O24" s="439"/>
      <c r="P24" s="439"/>
      <c r="Q24" s="439"/>
      <c r="R24" s="439">
        <f>+'Common Adj'!DN15</f>
        <v>6341.1377968182787</v>
      </c>
      <c r="S24" s="439"/>
      <c r="T24" s="439"/>
      <c r="U24" s="439"/>
      <c r="V24" s="439"/>
      <c r="W24" s="439"/>
      <c r="X24" s="439"/>
      <c r="Y24" s="439">
        <f>SUM('Electric Adj'!F18:F19,'Electric Adj'!F30)</f>
        <v>8543675.8544626534</v>
      </c>
      <c r="Z24" s="439"/>
      <c r="AA24" s="439"/>
      <c r="AB24" s="439"/>
      <c r="AC24" s="439"/>
      <c r="AD24" s="439"/>
      <c r="AE24" s="439"/>
      <c r="AF24" s="439"/>
      <c r="AG24" s="536">
        <f>SUM(D24:AF24)</f>
        <v>8537087.6701091882</v>
      </c>
      <c r="AH24" s="536">
        <f>+AG24+C24</f>
        <v>600379885.24010801</v>
      </c>
      <c r="AI24" s="439"/>
      <c r="AJ24" s="439"/>
      <c r="AK24" s="439"/>
      <c r="AL24" s="439"/>
      <c r="AM24" s="439"/>
      <c r="AN24" s="439"/>
      <c r="AO24" s="439">
        <f>+'Common Adj'!DP15</f>
        <v>245950.53762489464</v>
      </c>
      <c r="AP24" s="439"/>
      <c r="AQ24" s="439"/>
      <c r="AR24" s="439"/>
      <c r="AS24" s="439"/>
      <c r="AT24" s="439"/>
      <c r="AU24" s="439"/>
      <c r="AV24" s="439"/>
      <c r="AW24" s="439"/>
      <c r="AX24" s="439"/>
      <c r="AY24" s="439"/>
      <c r="AZ24" s="439"/>
      <c r="BA24" s="439"/>
      <c r="BB24" s="439">
        <f>SUM('Electric Adj'!H18:H20,'Electric Adj'!H30)</f>
        <v>-101125142.24082887</v>
      </c>
      <c r="BC24" s="439"/>
      <c r="BD24" s="439"/>
      <c r="BE24" s="439"/>
      <c r="BF24" s="439"/>
      <c r="BG24" s="439"/>
      <c r="BH24" s="439"/>
      <c r="BI24" s="439"/>
      <c r="BJ24" s="439"/>
      <c r="BK24" s="536">
        <f>SUM(AI24:BJ24)</f>
        <v>-100879191.70320398</v>
      </c>
      <c r="BL24" s="536">
        <f>+BK24+AH24</f>
        <v>499500693.53690404</v>
      </c>
    </row>
    <row r="25" spans="1:72" x14ac:dyDescent="0.25">
      <c r="A25" s="266">
        <f t="shared" si="2"/>
        <v>13</v>
      </c>
      <c r="B25" s="316" t="s">
        <v>10</v>
      </c>
      <c r="C25" s="439">
        <v>115807777.5999999</v>
      </c>
      <c r="D25" s="439"/>
      <c r="E25" s="439"/>
      <c r="F25" s="439"/>
      <c r="G25" s="439"/>
      <c r="H25" s="439"/>
      <c r="I25" s="439"/>
      <c r="J25" s="439"/>
      <c r="K25" s="439"/>
      <c r="L25" s="439"/>
      <c r="M25" s="439"/>
      <c r="N25" s="439"/>
      <c r="O25" s="439"/>
      <c r="P25" s="439"/>
      <c r="Q25" s="439"/>
      <c r="R25" s="439"/>
      <c r="S25" s="439"/>
      <c r="T25" s="439"/>
      <c r="U25" s="439"/>
      <c r="V25" s="439"/>
      <c r="W25" s="439"/>
      <c r="X25" s="439"/>
      <c r="Y25" s="439"/>
      <c r="Z25" s="439"/>
      <c r="AA25" s="439"/>
      <c r="AB25" s="439"/>
      <c r="AC25" s="439"/>
      <c r="AD25" s="439"/>
      <c r="AE25" s="439"/>
      <c r="AF25" s="439"/>
      <c r="AG25" s="536">
        <f>SUM(D25:AF25)</f>
        <v>0</v>
      </c>
      <c r="AH25" s="536">
        <f>+AG25+C25</f>
        <v>115807777.5999999</v>
      </c>
      <c r="AI25" s="439"/>
      <c r="AJ25" s="439"/>
      <c r="AK25" s="439"/>
      <c r="AL25" s="439"/>
      <c r="AM25" s="439"/>
      <c r="AN25" s="439"/>
      <c r="AO25" s="439"/>
      <c r="AP25" s="439"/>
      <c r="AQ25" s="439"/>
      <c r="AR25" s="439"/>
      <c r="AS25" s="439"/>
      <c r="AT25" s="439"/>
      <c r="AU25" s="439"/>
      <c r="AV25" s="439"/>
      <c r="AW25" s="439"/>
      <c r="AX25" s="439"/>
      <c r="AY25" s="439"/>
      <c r="AZ25" s="439"/>
      <c r="BA25" s="439"/>
      <c r="BB25" s="439">
        <f>+'Electric Adj'!H21</f>
        <v>-3321384.8286957741</v>
      </c>
      <c r="BC25" s="439"/>
      <c r="BD25" s="439"/>
      <c r="BE25" s="439"/>
      <c r="BF25" s="439"/>
      <c r="BG25" s="439"/>
      <c r="BH25" s="439"/>
      <c r="BI25" s="439"/>
      <c r="BJ25" s="439"/>
      <c r="BK25" s="536">
        <f>SUM(AI25:BJ25)</f>
        <v>-3321384.8286957741</v>
      </c>
      <c r="BL25" s="536">
        <f>+BK25+AH25</f>
        <v>112486392.77130413</v>
      </c>
    </row>
    <row r="26" spans="1:72" x14ac:dyDescent="0.25">
      <c r="A26" s="266">
        <f t="shared" si="2"/>
        <v>14</v>
      </c>
      <c r="B26" s="1" t="s">
        <v>11</v>
      </c>
      <c r="C26" s="439">
        <v>-77453659.509999901</v>
      </c>
      <c r="D26" s="439"/>
      <c r="E26" s="439"/>
      <c r="F26" s="439"/>
      <c r="G26" s="439"/>
      <c r="H26" s="439">
        <f>+'Common Adj'!AL41</f>
        <v>77453659.510000005</v>
      </c>
      <c r="I26" s="439"/>
      <c r="J26" s="439"/>
      <c r="K26" s="439"/>
      <c r="L26" s="439"/>
      <c r="M26" s="439"/>
      <c r="N26" s="439"/>
      <c r="O26" s="439"/>
      <c r="P26" s="439"/>
      <c r="Q26" s="439"/>
      <c r="R26" s="439"/>
      <c r="S26" s="439"/>
      <c r="T26" s="439"/>
      <c r="U26" s="439"/>
      <c r="V26" s="439"/>
      <c r="W26" s="439"/>
      <c r="X26" s="439"/>
      <c r="Y26" s="439"/>
      <c r="Z26" s="439"/>
      <c r="AA26" s="439"/>
      <c r="AB26" s="439"/>
      <c r="AC26" s="439"/>
      <c r="AD26" s="439"/>
      <c r="AE26" s="439"/>
      <c r="AF26" s="439"/>
      <c r="AG26" s="536">
        <f>SUM(D26:AF26)</f>
        <v>77453659.510000005</v>
      </c>
      <c r="AH26" s="536">
        <f>+AG26+C26</f>
        <v>0</v>
      </c>
      <c r="AI26" s="439"/>
      <c r="AJ26" s="439"/>
      <c r="AK26" s="439"/>
      <c r="AL26" s="439"/>
      <c r="AM26" s="439"/>
      <c r="AN26" s="439"/>
      <c r="AO26" s="439"/>
      <c r="AP26" s="439"/>
      <c r="AQ26" s="439"/>
      <c r="AR26" s="439"/>
      <c r="AS26" s="439"/>
      <c r="AT26" s="439"/>
      <c r="AU26" s="439"/>
      <c r="AV26" s="439"/>
      <c r="AW26" s="439"/>
      <c r="AX26" s="439"/>
      <c r="AY26" s="439"/>
      <c r="AZ26" s="439"/>
      <c r="BA26" s="439"/>
      <c r="BB26" s="439"/>
      <c r="BC26" s="439"/>
      <c r="BD26" s="439"/>
      <c r="BE26" s="439"/>
      <c r="BF26" s="439"/>
      <c r="BG26" s="439"/>
      <c r="BH26" s="439"/>
      <c r="BI26" s="439"/>
      <c r="BJ26" s="439"/>
      <c r="BK26" s="536">
        <f>SUM(AI26:BJ26)</f>
        <v>0</v>
      </c>
      <c r="BL26" s="536">
        <f>+BK26+AH26</f>
        <v>0</v>
      </c>
    </row>
    <row r="27" spans="1:72" x14ac:dyDescent="0.25">
      <c r="A27" s="266">
        <f t="shared" si="2"/>
        <v>15</v>
      </c>
      <c r="B27" s="316" t="s">
        <v>12</v>
      </c>
      <c r="C27" s="34">
        <f t="shared" ref="C27:AI27" si="6">SUM(C22:C26)</f>
        <v>834371045.94999886</v>
      </c>
      <c r="D27" s="34">
        <f t="shared" si="6"/>
        <v>0</v>
      </c>
      <c r="E27" s="34">
        <f t="shared" si="6"/>
        <v>0</v>
      </c>
      <c r="F27" s="34">
        <f t="shared" si="6"/>
        <v>0</v>
      </c>
      <c r="G27" s="34">
        <f t="shared" si="6"/>
        <v>0</v>
      </c>
      <c r="H27" s="34">
        <f t="shared" si="6"/>
        <v>77453659.510000005</v>
      </c>
      <c r="I27" s="34">
        <f t="shared" si="6"/>
        <v>0</v>
      </c>
      <c r="J27" s="34">
        <f t="shared" si="6"/>
        <v>0</v>
      </c>
      <c r="K27" s="34">
        <f t="shared" si="6"/>
        <v>-12929.322150284017</v>
      </c>
      <c r="L27" s="34">
        <f t="shared" si="6"/>
        <v>0</v>
      </c>
      <c r="M27" s="34">
        <f t="shared" si="6"/>
        <v>0</v>
      </c>
      <c r="N27" s="34">
        <f t="shared" si="6"/>
        <v>0</v>
      </c>
      <c r="O27" s="34">
        <f t="shared" si="6"/>
        <v>0</v>
      </c>
      <c r="P27" s="34">
        <f t="shared" si="6"/>
        <v>0</v>
      </c>
      <c r="Q27" s="34">
        <f t="shared" si="6"/>
        <v>0</v>
      </c>
      <c r="R27" s="34">
        <f t="shared" si="6"/>
        <v>6341.1377968182787</v>
      </c>
      <c r="S27" s="34">
        <f t="shared" si="6"/>
        <v>0</v>
      </c>
      <c r="T27" s="34">
        <f t="shared" si="6"/>
        <v>0</v>
      </c>
      <c r="U27" s="34">
        <f t="shared" si="6"/>
        <v>0</v>
      </c>
      <c r="V27" s="34">
        <f t="shared" si="6"/>
        <v>0</v>
      </c>
      <c r="W27" s="34">
        <f t="shared" si="6"/>
        <v>0</v>
      </c>
      <c r="X27" s="34">
        <f t="shared" ref="X27" si="7">SUM(X22:X26)</f>
        <v>0</v>
      </c>
      <c r="Y27" s="34">
        <f t="shared" si="6"/>
        <v>9607038.2144626528</v>
      </c>
      <c r="Z27" s="34">
        <f t="shared" si="6"/>
        <v>0</v>
      </c>
      <c r="AA27" s="34">
        <f t="shared" si="6"/>
        <v>0</v>
      </c>
      <c r="AB27" s="34">
        <f t="shared" si="6"/>
        <v>0</v>
      </c>
      <c r="AC27" s="34">
        <f t="shared" si="6"/>
        <v>0</v>
      </c>
      <c r="AD27" s="34">
        <f t="shared" si="6"/>
        <v>0</v>
      </c>
      <c r="AE27" s="34">
        <f t="shared" si="6"/>
        <v>0</v>
      </c>
      <c r="AF27" s="34">
        <f t="shared" si="6"/>
        <v>0</v>
      </c>
      <c r="AG27" s="181">
        <f t="shared" si="6"/>
        <v>87054109.540109187</v>
      </c>
      <c r="AH27" s="181">
        <f t="shared" si="6"/>
        <v>921425155.49010789</v>
      </c>
      <c r="AI27" s="34">
        <f t="shared" si="6"/>
        <v>0</v>
      </c>
      <c r="AJ27" s="34">
        <f t="shared" ref="AJ27:BL27" si="8">SUM(AJ22:AJ26)</f>
        <v>0</v>
      </c>
      <c r="AK27" s="34">
        <f t="shared" si="8"/>
        <v>0</v>
      </c>
      <c r="AL27" s="34">
        <f t="shared" si="8"/>
        <v>0</v>
      </c>
      <c r="AM27" s="34">
        <f t="shared" si="8"/>
        <v>0</v>
      </c>
      <c r="AN27" s="34">
        <f t="shared" si="8"/>
        <v>0</v>
      </c>
      <c r="AO27" s="34">
        <f t="shared" si="8"/>
        <v>245950.53762489464</v>
      </c>
      <c r="AP27" s="34">
        <f t="shared" si="8"/>
        <v>0</v>
      </c>
      <c r="AQ27" s="34">
        <f t="shared" si="8"/>
        <v>0</v>
      </c>
      <c r="AR27" s="34">
        <f t="shared" si="8"/>
        <v>0</v>
      </c>
      <c r="AS27" s="34">
        <f t="shared" si="8"/>
        <v>0</v>
      </c>
      <c r="AT27" s="34">
        <f t="shared" si="8"/>
        <v>0</v>
      </c>
      <c r="AU27" s="34">
        <f t="shared" si="8"/>
        <v>0</v>
      </c>
      <c r="AV27" s="34">
        <f t="shared" si="8"/>
        <v>0</v>
      </c>
      <c r="AW27" s="34">
        <f t="shared" si="8"/>
        <v>0</v>
      </c>
      <c r="AX27" s="34">
        <f t="shared" si="8"/>
        <v>0</v>
      </c>
      <c r="AY27" s="34">
        <f t="shared" si="8"/>
        <v>0</v>
      </c>
      <c r="AZ27" s="34">
        <f t="shared" si="8"/>
        <v>0</v>
      </c>
      <c r="BA27" s="34">
        <f t="shared" si="8"/>
        <v>0</v>
      </c>
      <c r="BB27" s="34">
        <f t="shared" si="8"/>
        <v>-145668694.72982225</v>
      </c>
      <c r="BC27" s="34">
        <f t="shared" si="8"/>
        <v>0</v>
      </c>
      <c r="BD27" s="34">
        <f t="shared" si="8"/>
        <v>0</v>
      </c>
      <c r="BE27" s="34">
        <f t="shared" si="8"/>
        <v>0</v>
      </c>
      <c r="BF27" s="34">
        <f t="shared" si="8"/>
        <v>0</v>
      </c>
      <c r="BG27" s="34">
        <f t="shared" si="8"/>
        <v>0</v>
      </c>
      <c r="BH27" s="34">
        <f t="shared" si="8"/>
        <v>0</v>
      </c>
      <c r="BI27" s="34">
        <f t="shared" si="8"/>
        <v>0</v>
      </c>
      <c r="BJ27" s="34">
        <f t="shared" si="8"/>
        <v>0</v>
      </c>
      <c r="BK27" s="181">
        <f t="shared" si="8"/>
        <v>-145422744.19219735</v>
      </c>
      <c r="BL27" s="181">
        <f t="shared" si="8"/>
        <v>776002411.29791057</v>
      </c>
    </row>
    <row r="28" spans="1:72" x14ac:dyDescent="0.25">
      <c r="A28" s="266">
        <f t="shared" si="2"/>
        <v>16</v>
      </c>
      <c r="B28" s="316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180"/>
      <c r="AH28" s="180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180"/>
      <c r="BL28" s="180"/>
    </row>
    <row r="29" spans="1:72" x14ac:dyDescent="0.25">
      <c r="A29" s="266">
        <f t="shared" si="2"/>
        <v>17</v>
      </c>
      <c r="B29" s="325" t="s">
        <v>13</v>
      </c>
      <c r="C29" s="8">
        <v>127167992.89</v>
      </c>
      <c r="D29" s="8"/>
      <c r="E29" s="8"/>
      <c r="F29" s="8"/>
      <c r="G29" s="8"/>
      <c r="H29" s="8"/>
      <c r="I29" s="8"/>
      <c r="J29" s="8"/>
      <c r="K29" s="439">
        <f>'Common Adj'!BJ16</f>
        <v>-43337.161375397118</v>
      </c>
      <c r="L29" s="8"/>
      <c r="M29" s="8"/>
      <c r="N29" s="8"/>
      <c r="O29" s="8"/>
      <c r="P29" s="8"/>
      <c r="Q29" s="8"/>
      <c r="R29" s="439">
        <f>'Common Adj'!DN16</f>
        <v>7381.9615589678288</v>
      </c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536">
        <f t="shared" ref="AG29:AG43" si="9">SUM(D29:AF29)</f>
        <v>-35955.199816429289</v>
      </c>
      <c r="AH29" s="180">
        <f t="shared" ref="AH29:AH43" si="10">+AG29+C29</f>
        <v>127132037.69018357</v>
      </c>
      <c r="AI29" s="8"/>
      <c r="AJ29" s="8"/>
      <c r="AK29" s="8"/>
      <c r="AL29" s="8"/>
      <c r="AM29" s="8"/>
      <c r="AN29" s="8"/>
      <c r="AO29" s="439">
        <f>+'Common Adj'!DP16</f>
        <v>691614.88958714157</v>
      </c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8">
        <f>+'Electric Adj'!H27</f>
        <v>-18605360.411643222</v>
      </c>
      <c r="BC29" s="8"/>
      <c r="BD29" s="8"/>
      <c r="BE29" s="8"/>
      <c r="BF29" s="8"/>
      <c r="BG29" s="8"/>
      <c r="BH29" s="8"/>
      <c r="BI29" s="8"/>
      <c r="BJ29" s="8"/>
      <c r="BK29" s="536">
        <f t="shared" ref="BK29:BK43" si="11">SUM(AI29:BJ29)</f>
        <v>-17913745.52205608</v>
      </c>
      <c r="BL29" s="180">
        <f t="shared" ref="BL29:BL43" si="12">+BK29+AH29</f>
        <v>109218292.16812748</v>
      </c>
    </row>
    <row r="30" spans="1:72" x14ac:dyDescent="0.25">
      <c r="A30" s="266">
        <f t="shared" si="2"/>
        <v>18</v>
      </c>
      <c r="B30" s="316" t="s">
        <v>14</v>
      </c>
      <c r="C30" s="9">
        <v>24439502.479999997</v>
      </c>
      <c r="D30" s="439"/>
      <c r="E30" s="439"/>
      <c r="F30" s="439"/>
      <c r="G30" s="439"/>
      <c r="H30" s="439"/>
      <c r="I30" s="439"/>
      <c r="J30" s="439"/>
      <c r="K30" s="439">
        <f>'Common Adj'!BJ17</f>
        <v>-18706.718945487402</v>
      </c>
      <c r="L30" s="439"/>
      <c r="M30" s="439"/>
      <c r="N30" s="439"/>
      <c r="O30" s="439"/>
      <c r="P30" s="439"/>
      <c r="Q30" s="439"/>
      <c r="R30" s="439">
        <f>+'Common Adj'!DN17</f>
        <v>6417.9413588624448</v>
      </c>
      <c r="S30" s="439"/>
      <c r="T30" s="439"/>
      <c r="U30" s="439"/>
      <c r="V30" s="439"/>
      <c r="W30" s="439"/>
      <c r="X30" s="439"/>
      <c r="Y30" s="439"/>
      <c r="Z30" s="439"/>
      <c r="AA30" s="439"/>
      <c r="AB30" s="439"/>
      <c r="AC30" s="439">
        <f>+'Electric Adj'!AL17</f>
        <v>-107344.6766666667</v>
      </c>
      <c r="AD30" s="439"/>
      <c r="AE30" s="439"/>
      <c r="AF30" s="439"/>
      <c r="AG30" s="536">
        <f t="shared" si="9"/>
        <v>-119633.45425329165</v>
      </c>
      <c r="AH30" s="536">
        <f t="shared" si="10"/>
        <v>24319869.025746707</v>
      </c>
      <c r="AI30" s="439"/>
      <c r="AJ30" s="439"/>
      <c r="AK30" s="439"/>
      <c r="AL30" s="439"/>
      <c r="AM30" s="439"/>
      <c r="AN30" s="439"/>
      <c r="AO30" s="439">
        <f>+'Common Adj'!DP17</f>
        <v>329177.9771651458</v>
      </c>
      <c r="AP30" s="439"/>
      <c r="AQ30" s="439"/>
      <c r="AR30" s="439"/>
      <c r="AS30" s="439"/>
      <c r="AT30" s="439"/>
      <c r="AU30" s="439"/>
      <c r="AV30" s="439"/>
      <c r="AW30" s="439"/>
      <c r="AX30" s="439"/>
      <c r="AY30" s="439"/>
      <c r="AZ30" s="439">
        <f>'Common Adj'!HP14</f>
        <v>159208.47999999952</v>
      </c>
      <c r="BA30" s="439"/>
      <c r="BB30" s="439"/>
      <c r="BC30" s="439"/>
      <c r="BD30" s="439"/>
      <c r="BE30" s="439"/>
      <c r="BF30" s="439"/>
      <c r="BG30" s="439"/>
      <c r="BH30" s="439"/>
      <c r="BI30" s="439"/>
      <c r="BJ30" s="439"/>
      <c r="BK30" s="536">
        <f t="shared" si="11"/>
        <v>488386.45716514532</v>
      </c>
      <c r="BL30" s="536">
        <f t="shared" si="12"/>
        <v>24808255.482911851</v>
      </c>
    </row>
    <row r="31" spans="1:72" x14ac:dyDescent="0.25">
      <c r="A31" s="266">
        <f t="shared" si="2"/>
        <v>19</v>
      </c>
      <c r="B31" s="316" t="s">
        <v>15</v>
      </c>
      <c r="C31" s="9">
        <v>83251239.00999999</v>
      </c>
      <c r="D31" s="439"/>
      <c r="E31" s="439"/>
      <c r="F31" s="439"/>
      <c r="G31" s="439"/>
      <c r="H31" s="439"/>
      <c r="I31" s="439"/>
      <c r="J31" s="439"/>
      <c r="K31" s="439">
        <f>'Common Adj'!BJ18</f>
        <v>-56877.492170206737</v>
      </c>
      <c r="L31" s="439"/>
      <c r="M31" s="439"/>
      <c r="N31" s="439"/>
      <c r="O31" s="439"/>
      <c r="P31" s="439"/>
      <c r="Q31" s="439"/>
      <c r="R31" s="439">
        <f>+'Common Adj'!DN18</f>
        <v>5812.8265940360725</v>
      </c>
      <c r="S31" s="439"/>
      <c r="T31" s="439"/>
      <c r="U31" s="439"/>
      <c r="V31" s="439"/>
      <c r="W31" s="439"/>
      <c r="X31" s="439"/>
      <c r="Y31" s="439"/>
      <c r="Z31" s="439"/>
      <c r="AA31" s="439"/>
      <c r="AB31" s="439"/>
      <c r="AC31" s="439">
        <f>+'Electric Adj'!AL15</f>
        <v>121269.80000000075</v>
      </c>
      <c r="AD31" s="439"/>
      <c r="AE31" s="439"/>
      <c r="AF31" s="439"/>
      <c r="AG31" s="536">
        <f t="shared" si="9"/>
        <v>70205.134423830081</v>
      </c>
      <c r="AH31" s="536">
        <f t="shared" si="10"/>
        <v>83321444.144423828</v>
      </c>
      <c r="AI31" s="439"/>
      <c r="AJ31" s="439"/>
      <c r="AK31" s="439"/>
      <c r="AL31" s="439"/>
      <c r="AM31" s="439"/>
      <c r="AN31" s="439"/>
      <c r="AO31" s="439">
        <f>+'Common Adj'!DP18</f>
        <v>869408.50621556863</v>
      </c>
      <c r="AP31" s="439"/>
      <c r="AQ31" s="439"/>
      <c r="AR31" s="439"/>
      <c r="AS31" s="439"/>
      <c r="AT31" s="439"/>
      <c r="AU31" s="439"/>
      <c r="AV31" s="439"/>
      <c r="AW31" s="439"/>
      <c r="AX31" s="439"/>
      <c r="AY31" s="439"/>
      <c r="AZ31" s="439">
        <f>'Common Adj'!HP15</f>
        <v>1377954.2199999988</v>
      </c>
      <c r="BA31" s="439"/>
      <c r="BB31" s="439"/>
      <c r="BC31" s="439"/>
      <c r="BD31" s="439"/>
      <c r="BE31" s="439"/>
      <c r="BF31" s="439"/>
      <c r="BG31" s="439"/>
      <c r="BH31" s="439"/>
      <c r="BI31" s="439"/>
      <c r="BJ31" s="439"/>
      <c r="BK31" s="536">
        <f t="shared" si="11"/>
        <v>2247362.7262155674</v>
      </c>
      <c r="BL31" s="536">
        <f t="shared" si="12"/>
        <v>85568806.870639399</v>
      </c>
    </row>
    <row r="32" spans="1:72" x14ac:dyDescent="0.25">
      <c r="A32" s="266">
        <f t="shared" si="2"/>
        <v>20</v>
      </c>
      <c r="B32" s="316" t="s">
        <v>16</v>
      </c>
      <c r="C32" s="9">
        <v>53199861.179999992</v>
      </c>
      <c r="D32" s="439">
        <f>'Common Adj'!F42</f>
        <v>373453.32075531798</v>
      </c>
      <c r="E32" s="439">
        <f>'Common Adj'!N20</f>
        <v>55552.890259</v>
      </c>
      <c r="F32" s="439"/>
      <c r="G32" s="439"/>
      <c r="H32" s="439">
        <f>+'Common Adj'!AL31</f>
        <v>-1605619.9023454485</v>
      </c>
      <c r="I32" s="439"/>
      <c r="J32" s="439">
        <f>+'Common Adj'!BB15</f>
        <v>-383738.93548899889</v>
      </c>
      <c r="K32" s="439">
        <f>'Common Adj'!BJ19</f>
        <v>-22040.633999859798</v>
      </c>
      <c r="L32" s="439"/>
      <c r="M32" s="439"/>
      <c r="N32" s="439">
        <f>+'Common Adj'!CH14</f>
        <v>803909.33835699933</v>
      </c>
      <c r="O32" s="439"/>
      <c r="P32" s="439"/>
      <c r="Q32" s="439"/>
      <c r="R32" s="439">
        <f>+'Common Adj'!DN19</f>
        <v>3681.0816675275564</v>
      </c>
      <c r="S32" s="439"/>
      <c r="T32" s="439"/>
      <c r="U32" s="439"/>
      <c r="V32" s="439"/>
      <c r="W32" s="439"/>
      <c r="X32" s="439"/>
      <c r="Y32" s="439"/>
      <c r="Z32" s="439"/>
      <c r="AA32" s="439"/>
      <c r="AB32" s="439"/>
      <c r="AC32" s="439"/>
      <c r="AD32" s="439"/>
      <c r="AE32" s="439"/>
      <c r="AF32" s="439"/>
      <c r="AG32" s="536">
        <f t="shared" si="9"/>
        <v>-774802.84079546237</v>
      </c>
      <c r="AH32" s="536">
        <f t="shared" si="10"/>
        <v>52425058.339204527</v>
      </c>
      <c r="AI32" s="439">
        <f>'Common Adj'!H42</f>
        <v>-289777.15111037</v>
      </c>
      <c r="AJ32" s="439">
        <f>'Common Adj'!P20</f>
        <v>96708.811594000086</v>
      </c>
      <c r="AK32" s="439"/>
      <c r="AL32" s="439"/>
      <c r="AM32" s="439"/>
      <c r="AN32" s="439"/>
      <c r="AO32" s="439">
        <f>+'Common Adj'!DP19</f>
        <v>344111.48429154046</v>
      </c>
      <c r="AP32" s="439"/>
      <c r="AQ32" s="439"/>
      <c r="AR32" s="439"/>
      <c r="AS32" s="439"/>
      <c r="AT32" s="439"/>
      <c r="AU32" s="439"/>
      <c r="AV32" s="439"/>
      <c r="AW32" s="439">
        <f>'Common Adj'!GR15</f>
        <v>-604216.168725</v>
      </c>
      <c r="AX32" s="439"/>
      <c r="AY32" s="439"/>
      <c r="AZ32" s="439">
        <f>'Common Adj'!HP16</f>
        <v>146042.08000000007</v>
      </c>
      <c r="BA32" s="439"/>
      <c r="BB32" s="439"/>
      <c r="BC32" s="439"/>
      <c r="BD32" s="439"/>
      <c r="BE32" s="439"/>
      <c r="BF32" s="439"/>
      <c r="BG32" s="439"/>
      <c r="BH32" s="439"/>
      <c r="BI32" s="439"/>
      <c r="BJ32" s="439"/>
      <c r="BK32" s="536">
        <f t="shared" si="11"/>
        <v>-307130.94394982938</v>
      </c>
      <c r="BL32" s="536">
        <f t="shared" si="12"/>
        <v>52117927.395254701</v>
      </c>
      <c r="BT32" s="221"/>
    </row>
    <row r="33" spans="1:72" x14ac:dyDescent="0.25">
      <c r="A33" s="266">
        <f t="shared" si="2"/>
        <v>21</v>
      </c>
      <c r="B33" s="316" t="s">
        <v>17</v>
      </c>
      <c r="C33" s="9">
        <v>22140921.049999997</v>
      </c>
      <c r="D33" s="439"/>
      <c r="E33" s="439"/>
      <c r="F33" s="439"/>
      <c r="G33" s="439"/>
      <c r="H33" s="439">
        <f>+'Common Adj'!AL40+'Common Adj'!AL44</f>
        <v>-18123263</v>
      </c>
      <c r="I33" s="439"/>
      <c r="J33" s="439"/>
      <c r="K33" s="439">
        <f>'Common Adj'!BJ20+'Common Adj'!BJ21</f>
        <v>-3608.3649412231462</v>
      </c>
      <c r="L33" s="439"/>
      <c r="M33" s="439"/>
      <c r="N33" s="439"/>
      <c r="O33" s="439"/>
      <c r="P33" s="439"/>
      <c r="Q33" s="439"/>
      <c r="R33" s="439">
        <f>+'Common Adj'!DN20+'Common Adj'!DN21</f>
        <v>1631.5225314904237</v>
      </c>
      <c r="S33" s="439"/>
      <c r="T33" s="439"/>
      <c r="U33" s="439"/>
      <c r="V33" s="439"/>
      <c r="W33" s="439"/>
      <c r="X33" s="439"/>
      <c r="Y33" s="439"/>
      <c r="Z33" s="439"/>
      <c r="AA33" s="439"/>
      <c r="AB33" s="439"/>
      <c r="AC33" s="439"/>
      <c r="AD33" s="439"/>
      <c r="AE33" s="439"/>
      <c r="AF33" s="439"/>
      <c r="AG33" s="536">
        <f t="shared" si="9"/>
        <v>-18125239.842409734</v>
      </c>
      <c r="AH33" s="536">
        <f t="shared" si="10"/>
        <v>4015681.2075902633</v>
      </c>
      <c r="AI33" s="439"/>
      <c r="AJ33" s="439"/>
      <c r="AK33" s="439"/>
      <c r="AL33" s="439"/>
      <c r="AM33" s="439"/>
      <c r="AN33" s="439"/>
      <c r="AO33" s="439">
        <f>+'Common Adj'!DP20+'Common Adj'!DP21</f>
        <v>67858.879361970816</v>
      </c>
      <c r="AP33" s="439"/>
      <c r="AQ33" s="439"/>
      <c r="AR33" s="439"/>
      <c r="AS33" s="439"/>
      <c r="AT33" s="439"/>
      <c r="AU33" s="439"/>
      <c r="AV33" s="439"/>
      <c r="AW33" s="439"/>
      <c r="AX33" s="439"/>
      <c r="AY33" s="439"/>
      <c r="AZ33" s="439"/>
      <c r="BA33" s="439"/>
      <c r="BB33" s="439"/>
      <c r="BC33" s="439"/>
      <c r="BD33" s="439"/>
      <c r="BE33" s="439"/>
      <c r="BF33" s="439"/>
      <c r="BG33" s="439"/>
      <c r="BH33" s="439"/>
      <c r="BI33" s="439"/>
      <c r="BJ33" s="439"/>
      <c r="BK33" s="536">
        <f t="shared" si="11"/>
        <v>67858.879361970816</v>
      </c>
      <c r="BL33" s="536">
        <f t="shared" si="12"/>
        <v>4083540.0869522342</v>
      </c>
      <c r="BT33" s="221"/>
    </row>
    <row r="34" spans="1:72" x14ac:dyDescent="0.25">
      <c r="A34" s="266">
        <f t="shared" si="2"/>
        <v>22</v>
      </c>
      <c r="B34" s="316" t="s">
        <v>18</v>
      </c>
      <c r="C34" s="9">
        <v>97087902.950000003</v>
      </c>
      <c r="D34" s="439"/>
      <c r="E34" s="439"/>
      <c r="F34" s="439"/>
      <c r="G34" s="439"/>
      <c r="H34" s="439">
        <f>+'Common Adj'!AL37</f>
        <v>-97087902.950000003</v>
      </c>
      <c r="I34" s="439"/>
      <c r="J34" s="439"/>
      <c r="K34" s="439"/>
      <c r="L34" s="439"/>
      <c r="M34" s="439"/>
      <c r="N34" s="439"/>
      <c r="O34" s="439"/>
      <c r="P34" s="439"/>
      <c r="Q34" s="439"/>
      <c r="R34" s="439"/>
      <c r="S34" s="439"/>
      <c r="T34" s="439"/>
      <c r="U34" s="439"/>
      <c r="V34" s="439"/>
      <c r="W34" s="439"/>
      <c r="X34" s="439"/>
      <c r="Y34" s="439"/>
      <c r="Z34" s="439"/>
      <c r="AA34" s="439"/>
      <c r="AB34" s="439"/>
      <c r="AC34" s="439"/>
      <c r="AD34" s="439"/>
      <c r="AE34" s="439"/>
      <c r="AF34" s="439"/>
      <c r="AG34" s="536">
        <f t="shared" si="9"/>
        <v>-97087902.950000003</v>
      </c>
      <c r="AH34" s="536">
        <f t="shared" si="10"/>
        <v>0</v>
      </c>
      <c r="AI34" s="439"/>
      <c r="AJ34" s="439"/>
      <c r="AK34" s="439"/>
      <c r="AL34" s="439"/>
      <c r="AM34" s="439"/>
      <c r="AN34" s="439"/>
      <c r="AO34" s="8"/>
      <c r="AP34" s="439"/>
      <c r="AQ34" s="439"/>
      <c r="AR34" s="439"/>
      <c r="AS34" s="439"/>
      <c r="AT34" s="439"/>
      <c r="AU34" s="439"/>
      <c r="AV34" s="439"/>
      <c r="AW34" s="439"/>
      <c r="AX34" s="439"/>
      <c r="AY34" s="439"/>
      <c r="AZ34" s="439"/>
      <c r="BA34" s="439"/>
      <c r="BB34" s="439"/>
      <c r="BC34" s="439"/>
      <c r="BD34" s="439"/>
      <c r="BE34" s="439"/>
      <c r="BF34" s="439"/>
      <c r="BG34" s="439"/>
      <c r="BH34" s="439"/>
      <c r="BI34" s="439"/>
      <c r="BJ34" s="439"/>
      <c r="BK34" s="536">
        <f t="shared" si="11"/>
        <v>0</v>
      </c>
      <c r="BL34" s="536">
        <f t="shared" si="12"/>
        <v>0</v>
      </c>
      <c r="BT34" s="221"/>
    </row>
    <row r="35" spans="1:72" x14ac:dyDescent="0.25">
      <c r="A35" s="266">
        <f t="shared" si="2"/>
        <v>23</v>
      </c>
      <c r="B35" s="316" t="s">
        <v>19</v>
      </c>
      <c r="C35" s="9">
        <v>124825410.95999999</v>
      </c>
      <c r="D35" s="439">
        <f>'Common Adj'!F43</f>
        <v>88089.001239607955</v>
      </c>
      <c r="E35" s="439">
        <f>'Common Adj'!N21</f>
        <v>13103.642</v>
      </c>
      <c r="F35" s="439"/>
      <c r="G35" s="439"/>
      <c r="H35" s="439">
        <f>+'Common Adj'!AL32+'Common Adj'!AL45</f>
        <v>-408082.83062400005</v>
      </c>
      <c r="I35" s="439">
        <f>+'Common Adj'!AT16</f>
        <v>-84300.474512874614</v>
      </c>
      <c r="J35" s="439"/>
      <c r="K35" s="439">
        <f>+'Common Adj'!BJ22</f>
        <v>-56643.756348991301</v>
      </c>
      <c r="L35" s="439">
        <f>+'Common Adj'!BR14</f>
        <v>14061.997781991959</v>
      </c>
      <c r="M35" s="439">
        <f>+'Common Adj'!BZ16</f>
        <v>-6710.549906840708</v>
      </c>
      <c r="N35" s="439"/>
      <c r="O35" s="439">
        <f>+'Common Adj'!CP20</f>
        <v>628553.90760300006</v>
      </c>
      <c r="P35" s="439">
        <f>'Common Adj'!CX15</f>
        <v>2184999.0024255933</v>
      </c>
      <c r="Q35" s="439">
        <f>'Common Adj'!DF16</f>
        <v>-405001.75899837748</v>
      </c>
      <c r="R35" s="439">
        <f>+'Common Adj'!DN22</f>
        <v>27562.31451934576</v>
      </c>
      <c r="S35" s="439">
        <f>+'Common Adj'!DV28</f>
        <v>16653.918911919929</v>
      </c>
      <c r="T35" s="439">
        <f>'Common Adj'!ED21</f>
        <v>30190.192556923255</v>
      </c>
      <c r="U35" s="439"/>
      <c r="V35" s="439"/>
      <c r="W35" s="439">
        <f>+'Common Adj'!FZ29-'Common Adj'!FZ22-'Common Adj'!FZ17</f>
        <v>-1290076.1837477004</v>
      </c>
      <c r="X35" s="439"/>
      <c r="Y35" s="439"/>
      <c r="Z35" s="439"/>
      <c r="AA35" s="439"/>
      <c r="AB35" s="439"/>
      <c r="AC35" s="439"/>
      <c r="AD35" s="439"/>
      <c r="AE35" s="439"/>
      <c r="AF35" s="439"/>
      <c r="AG35" s="536">
        <f t="shared" si="9"/>
        <v>752398.42289959756</v>
      </c>
      <c r="AH35" s="536">
        <f t="shared" si="10"/>
        <v>125577809.3828996</v>
      </c>
      <c r="AI35" s="439">
        <f>'Common Adj'!H43</f>
        <v>-68351.728060000009</v>
      </c>
      <c r="AJ35" s="439">
        <f>'Common Adj'!P21</f>
        <v>22811.372000000207</v>
      </c>
      <c r="AK35" s="439"/>
      <c r="AL35" s="439">
        <f>+'Common Adj'!BT14</f>
        <v>-14061.997781991959</v>
      </c>
      <c r="AM35" s="439">
        <f>+'Common Adj'!CB18</f>
        <v>6710.549906840708</v>
      </c>
      <c r="AN35" s="439">
        <f>'Common Adj'!DH16</f>
        <v>560237.97633404168</v>
      </c>
      <c r="AO35" s="439">
        <f>+'Common Adj'!DP22</f>
        <v>1071660.7177337781</v>
      </c>
      <c r="AP35" s="439">
        <f>+'Common Adj'!DX28</f>
        <v>263515.60003291816</v>
      </c>
      <c r="AQ35" s="439">
        <f>'Common Adj'!EF21</f>
        <v>874996.06141313724</v>
      </c>
      <c r="AR35" s="439"/>
      <c r="AS35" s="439"/>
      <c r="AT35" s="439"/>
      <c r="AU35" s="439">
        <f>+'Common Adj'!GB29</f>
        <v>-499429.07517434994</v>
      </c>
      <c r="AV35" s="439"/>
      <c r="AW35" s="439"/>
      <c r="AX35" s="439"/>
      <c r="AY35" s="439"/>
      <c r="AZ35" s="439">
        <f>'Common Adj'!HP17</f>
        <v>1258.4533669999946</v>
      </c>
      <c r="BA35" s="439"/>
      <c r="BB35" s="439"/>
      <c r="BC35" s="439"/>
      <c r="BD35" s="439"/>
      <c r="BE35" s="439"/>
      <c r="BF35" s="439"/>
      <c r="BG35" s="439"/>
      <c r="BH35" s="439"/>
      <c r="BI35" s="439"/>
      <c r="BJ35" s="439"/>
      <c r="BK35" s="536">
        <f t="shared" si="11"/>
        <v>2219347.929771374</v>
      </c>
      <c r="BL35" s="536">
        <f t="shared" si="12"/>
        <v>127797157.31267098</v>
      </c>
    </row>
    <row r="36" spans="1:72" x14ac:dyDescent="0.25">
      <c r="A36" s="266">
        <f t="shared" si="2"/>
        <v>24</v>
      </c>
      <c r="B36" s="316" t="s">
        <v>20</v>
      </c>
      <c r="C36" s="9">
        <v>341625259.95999998</v>
      </c>
      <c r="D36" s="439"/>
      <c r="E36" s="439"/>
      <c r="F36" s="439"/>
      <c r="G36" s="439"/>
      <c r="H36" s="439"/>
      <c r="I36" s="439"/>
      <c r="J36" s="439"/>
      <c r="K36" s="439"/>
      <c r="L36" s="439"/>
      <c r="M36" s="439"/>
      <c r="N36" s="439"/>
      <c r="O36" s="439"/>
      <c r="P36" s="439"/>
      <c r="Q36" s="439"/>
      <c r="R36" s="439"/>
      <c r="S36" s="439"/>
      <c r="T36" s="439"/>
      <c r="U36" s="439"/>
      <c r="V36" s="439">
        <f>+'Common Adj'!ET14+'Common Adj'!ET15+'Common Adj'!ET19</f>
        <v>5699417.5924432306</v>
      </c>
      <c r="W36" s="439"/>
      <c r="X36" s="439"/>
      <c r="Y36" s="439"/>
      <c r="Z36" s="439"/>
      <c r="AA36" s="439">
        <f>'Electric Adj'!V24</f>
        <v>-212064</v>
      </c>
      <c r="AB36" s="439"/>
      <c r="AC36" s="439"/>
      <c r="AD36" s="8">
        <f>'Electric Adj'!BB26+'Electric Adj'!BB18</f>
        <v>-2348854.8283335716</v>
      </c>
      <c r="AE36" s="439"/>
      <c r="AF36" s="439"/>
      <c r="AG36" s="536">
        <f t="shared" si="9"/>
        <v>3138498.764109659</v>
      </c>
      <c r="AH36" s="536">
        <f t="shared" si="10"/>
        <v>344763758.72410965</v>
      </c>
      <c r="AI36" s="439"/>
      <c r="AJ36" s="439"/>
      <c r="AK36" s="439"/>
      <c r="AL36" s="439"/>
      <c r="AM36" s="439"/>
      <c r="AN36" s="439"/>
      <c r="AO36" s="439"/>
      <c r="AP36" s="439"/>
      <c r="AQ36" s="439"/>
      <c r="AR36" s="439"/>
      <c r="AS36" s="439"/>
      <c r="AT36" s="439">
        <f>SUM('Common Adj'!FS29:FS30)</f>
        <v>3518944.0683202329</v>
      </c>
      <c r="AU36" s="439">
        <f>+'Common Adj'!GB22</f>
        <v>0</v>
      </c>
      <c r="AW36" s="439"/>
      <c r="AX36" s="439"/>
      <c r="AY36" s="439">
        <f>+'Common Adj'!HH24</f>
        <v>737379.34131125675</v>
      </c>
      <c r="AZ36" s="439"/>
      <c r="BB36" s="439"/>
      <c r="BC36" s="439"/>
      <c r="BD36" s="439"/>
      <c r="BE36" s="439"/>
      <c r="BF36" s="439"/>
      <c r="BG36" s="439">
        <f>'Electric Adj'!BT24</f>
        <v>1025230.6113811826</v>
      </c>
      <c r="BI36" s="439">
        <f>+'Electric Adj'!CJ15</f>
        <v>-57000</v>
      </c>
      <c r="BJ36" s="439"/>
      <c r="BK36" s="536">
        <f t="shared" si="11"/>
        <v>5224554.0210126722</v>
      </c>
      <c r="BL36" s="536">
        <f t="shared" si="12"/>
        <v>349988312.74512231</v>
      </c>
    </row>
    <row r="37" spans="1:72" x14ac:dyDescent="0.25">
      <c r="A37" s="266">
        <f t="shared" si="2"/>
        <v>25</v>
      </c>
      <c r="B37" s="316" t="s">
        <v>21</v>
      </c>
      <c r="C37" s="9">
        <v>75292958.060000002</v>
      </c>
      <c r="D37" s="439"/>
      <c r="E37" s="439"/>
      <c r="F37" s="439"/>
      <c r="G37" s="439"/>
      <c r="H37" s="439"/>
      <c r="I37" s="439"/>
      <c r="J37" s="439"/>
      <c r="K37" s="439"/>
      <c r="L37" s="439"/>
      <c r="M37" s="439"/>
      <c r="N37" s="439"/>
      <c r="O37" s="439"/>
      <c r="P37" s="439"/>
      <c r="Q37" s="439"/>
      <c r="R37" s="439"/>
      <c r="S37" s="439"/>
      <c r="T37" s="439"/>
      <c r="U37" s="439"/>
      <c r="V37" s="439">
        <f>+'Common Adj'!ET16+'Common Adj'!ET17+'Common Adj'!ET20</f>
        <v>15699257.697837964</v>
      </c>
      <c r="W37" s="439"/>
      <c r="X37" s="439"/>
      <c r="Y37" s="439"/>
      <c r="Z37" s="439"/>
      <c r="AA37" s="439"/>
      <c r="AB37" s="439"/>
      <c r="AC37" s="439"/>
      <c r="AD37" s="439"/>
      <c r="AE37" s="439"/>
      <c r="AF37" s="439"/>
      <c r="AG37" s="536">
        <f t="shared" si="9"/>
        <v>15699257.697837964</v>
      </c>
      <c r="AH37" s="536">
        <f t="shared" si="10"/>
        <v>90992215.757837966</v>
      </c>
      <c r="AI37" s="439"/>
      <c r="AJ37" s="439"/>
      <c r="AK37" s="439"/>
      <c r="AL37" s="439"/>
      <c r="AM37" s="439"/>
      <c r="AN37" s="439"/>
      <c r="AO37" s="439"/>
      <c r="AP37" s="439"/>
      <c r="AQ37" s="439"/>
      <c r="AR37" s="439"/>
      <c r="AS37" s="439"/>
      <c r="AT37" s="439"/>
      <c r="AU37" s="439"/>
      <c r="AV37" s="439">
        <f>'Common Adj'!GJ30</f>
        <v>8125865.8953315997</v>
      </c>
      <c r="AW37" s="439"/>
      <c r="AX37" s="439"/>
      <c r="AY37" s="439"/>
      <c r="AZ37" s="439"/>
      <c r="BA37" s="439">
        <f>'Common Adj'!HX24</f>
        <v>718226.57403660007</v>
      </c>
      <c r="BB37" s="439"/>
      <c r="BC37" s="439"/>
      <c r="BD37" s="439"/>
      <c r="BE37" s="439"/>
      <c r="BF37" s="439">
        <f>'Electric Adj'!BL25</f>
        <v>-5669283.3340000007</v>
      </c>
      <c r="BG37" s="439"/>
      <c r="BH37" s="439">
        <f>'Electric Adj'!CB24</f>
        <v>3145055.3879999998</v>
      </c>
      <c r="BI37" s="439"/>
      <c r="BJ37" s="439"/>
      <c r="BK37" s="536">
        <f t="shared" si="11"/>
        <v>6319864.5233682003</v>
      </c>
      <c r="BL37" s="536">
        <f t="shared" si="12"/>
        <v>97312080.281206161</v>
      </c>
    </row>
    <row r="38" spans="1:72" x14ac:dyDescent="0.25">
      <c r="A38" s="266">
        <f t="shared" si="2"/>
        <v>26</v>
      </c>
      <c r="B38" s="325" t="s">
        <v>22</v>
      </c>
      <c r="C38" s="9">
        <v>35645161.039999902</v>
      </c>
      <c r="D38" s="439"/>
      <c r="E38" s="439"/>
      <c r="F38" s="439"/>
      <c r="G38" s="439"/>
      <c r="H38" s="439"/>
      <c r="I38" s="439"/>
      <c r="J38" s="439"/>
      <c r="K38" s="439"/>
      <c r="L38" s="439"/>
      <c r="M38" s="439"/>
      <c r="N38" s="439"/>
      <c r="O38" s="439"/>
      <c r="P38" s="439"/>
      <c r="Q38" s="439"/>
      <c r="R38" s="439"/>
      <c r="S38" s="439"/>
      <c r="T38" s="439"/>
      <c r="U38" s="439"/>
      <c r="V38" s="439"/>
      <c r="W38" s="439"/>
      <c r="X38" s="439"/>
      <c r="Y38" s="439"/>
      <c r="Z38" s="439"/>
      <c r="AA38" s="439"/>
      <c r="AB38" s="439"/>
      <c r="AC38" s="439"/>
      <c r="AD38" s="439"/>
      <c r="AE38" s="439"/>
      <c r="AF38" s="439"/>
      <c r="AG38" s="536">
        <f t="shared" si="9"/>
        <v>0</v>
      </c>
      <c r="AH38" s="536">
        <f t="shared" si="10"/>
        <v>35645161.039999902</v>
      </c>
      <c r="AI38" s="439"/>
      <c r="AJ38" s="439"/>
      <c r="AK38" s="439"/>
      <c r="AL38" s="439"/>
      <c r="AM38" s="439"/>
      <c r="AN38" s="439"/>
      <c r="AO38" s="439"/>
      <c r="AP38" s="439"/>
      <c r="AQ38" s="439"/>
      <c r="AR38" s="439"/>
      <c r="AS38" s="439"/>
      <c r="AT38" s="439"/>
      <c r="AU38" s="439"/>
      <c r="AV38" s="439"/>
      <c r="AW38" s="439"/>
      <c r="AX38" s="439"/>
      <c r="AY38" s="439"/>
      <c r="AZ38" s="439"/>
      <c r="BA38" s="439"/>
      <c r="BB38" s="439"/>
      <c r="BC38" s="439"/>
      <c r="BD38" s="439">
        <f>+'Electric Adj'!AN21</f>
        <v>13521271.800000004</v>
      </c>
      <c r="BE38" s="439">
        <f>'Electric Adj'!AV48+'Electric Adj'!AV47</f>
        <v>-6016033.5165937655</v>
      </c>
      <c r="BF38" s="439"/>
      <c r="BG38" s="439"/>
      <c r="BH38" s="439"/>
      <c r="BI38" s="439"/>
      <c r="BJ38" s="439"/>
      <c r="BK38" s="536">
        <f t="shared" si="11"/>
        <v>7505238.283406239</v>
      </c>
      <c r="BL38" s="536">
        <f t="shared" si="12"/>
        <v>43150399.323406145</v>
      </c>
    </row>
    <row r="39" spans="1:72" x14ac:dyDescent="0.25">
      <c r="A39" s="266">
        <f t="shared" si="2"/>
        <v>27</v>
      </c>
      <c r="B39" s="316" t="s">
        <v>23</v>
      </c>
      <c r="C39" s="9">
        <v>-21632953.829999994</v>
      </c>
      <c r="D39" s="439">
        <f>'Common Adj'!F39</f>
        <v>31349866.02</v>
      </c>
      <c r="E39" s="439"/>
      <c r="F39" s="439"/>
      <c r="G39" s="439"/>
      <c r="H39" s="439">
        <f>+'Common Adj'!AL42</f>
        <v>83311.960000000006</v>
      </c>
      <c r="I39" s="439"/>
      <c r="J39" s="439"/>
      <c r="K39" s="439"/>
      <c r="L39" s="439"/>
      <c r="M39" s="439"/>
      <c r="N39" s="439"/>
      <c r="O39" s="439"/>
      <c r="P39" s="439"/>
      <c r="Q39" s="439"/>
      <c r="R39" s="439"/>
      <c r="S39" s="439"/>
      <c r="T39" s="439"/>
      <c r="U39" s="439"/>
      <c r="V39" s="439"/>
      <c r="W39" s="439"/>
      <c r="X39" s="439"/>
      <c r="Y39" s="439"/>
      <c r="Z39" s="439"/>
      <c r="AA39" s="439"/>
      <c r="AB39" s="439"/>
      <c r="AC39" s="439"/>
      <c r="AD39" s="439"/>
      <c r="AE39" s="439"/>
      <c r="AF39" s="439"/>
      <c r="AG39" s="536">
        <f t="shared" si="9"/>
        <v>31433177.98</v>
      </c>
      <c r="AH39" s="536">
        <f t="shared" si="10"/>
        <v>9800224.150000006</v>
      </c>
      <c r="AI39" s="439"/>
      <c r="AJ39" s="439"/>
      <c r="AK39" s="439"/>
      <c r="AL39" s="439"/>
      <c r="AM39" s="439"/>
      <c r="AN39" s="439"/>
      <c r="AO39" s="439"/>
      <c r="AP39" s="439"/>
      <c r="AQ39" s="439"/>
      <c r="AR39" s="439">
        <f>+'Common Adj'!FD17</f>
        <v>-3533963.9933333327</v>
      </c>
      <c r="AS39" s="439">
        <f>'Common Adj'!FL15</f>
        <v>152047.66032121028</v>
      </c>
      <c r="AT39" s="439">
        <f>SUM('Common Adj'!FS31:FS32)</f>
        <v>5372502.2388828583</v>
      </c>
      <c r="AU39" s="439"/>
      <c r="AV39" s="439">
        <f>'Common Adj'!GJ31+'Common Adj'!GJ32</f>
        <v>7921689.3035694016</v>
      </c>
      <c r="AW39" s="439"/>
      <c r="AX39" s="439"/>
      <c r="AY39" s="439"/>
      <c r="AZ39" s="439"/>
      <c r="BA39" s="439"/>
      <c r="BB39" s="439"/>
      <c r="BC39" s="439"/>
      <c r="BD39" s="439"/>
      <c r="BE39" s="439">
        <f>'Electric Adj'!AV51-BE38</f>
        <v>-5503100.002442643</v>
      </c>
      <c r="BF39" s="439"/>
      <c r="BG39" s="439"/>
      <c r="BH39" s="439"/>
      <c r="BI39" s="439"/>
      <c r="BJ39" s="439"/>
      <c r="BK39" s="536">
        <f t="shared" si="11"/>
        <v>4409175.2069974951</v>
      </c>
      <c r="BL39" s="536">
        <f t="shared" si="12"/>
        <v>14209399.356997501</v>
      </c>
    </row>
    <row r="40" spans="1:72" x14ac:dyDescent="0.25">
      <c r="A40" s="266">
        <f t="shared" si="2"/>
        <v>28</v>
      </c>
      <c r="B40" s="1" t="s">
        <v>24</v>
      </c>
      <c r="C40" s="9">
        <v>-41661500.859999999</v>
      </c>
      <c r="D40" s="439"/>
      <c r="E40" s="439"/>
      <c r="F40" s="439"/>
      <c r="G40" s="439"/>
      <c r="H40" s="439"/>
      <c r="I40" s="439"/>
      <c r="J40" s="439"/>
      <c r="K40" s="439"/>
      <c r="L40" s="439"/>
      <c r="M40" s="439"/>
      <c r="N40" s="439"/>
      <c r="O40" s="439"/>
      <c r="P40" s="439"/>
      <c r="Q40" s="439"/>
      <c r="R40" s="439"/>
      <c r="S40" s="439"/>
      <c r="T40" s="439"/>
      <c r="U40" s="439"/>
      <c r="V40" s="439"/>
      <c r="W40" s="439"/>
      <c r="X40" s="439"/>
      <c r="Y40" s="439"/>
      <c r="Z40" s="439"/>
      <c r="AA40" s="439"/>
      <c r="AB40" s="439">
        <f>+'Electric Adj'!AD15</f>
        <v>41661500.859999999</v>
      </c>
      <c r="AC40" s="439"/>
      <c r="AD40" s="439"/>
      <c r="AE40" s="439"/>
      <c r="AF40" s="439"/>
      <c r="AG40" s="536">
        <f t="shared" si="9"/>
        <v>41661500.859999999</v>
      </c>
      <c r="AH40" s="536">
        <f t="shared" si="10"/>
        <v>0</v>
      </c>
      <c r="AI40" s="439"/>
      <c r="AJ40" s="439"/>
      <c r="AK40" s="439"/>
      <c r="AL40" s="439"/>
      <c r="AM40" s="439"/>
      <c r="AN40" s="439"/>
      <c r="AO40" s="439"/>
      <c r="AP40" s="439"/>
      <c r="AQ40" s="439"/>
      <c r="AR40" s="439"/>
      <c r="AS40" s="439"/>
      <c r="AT40" s="439"/>
      <c r="AU40" s="439"/>
      <c r="AV40" s="439"/>
      <c r="AW40" s="439"/>
      <c r="AX40" s="439"/>
      <c r="AY40" s="439"/>
      <c r="AZ40" s="439"/>
      <c r="BA40" s="439"/>
      <c r="BB40" s="439"/>
      <c r="BC40" s="439"/>
      <c r="BD40" s="439"/>
      <c r="BE40" s="439"/>
      <c r="BF40" s="439"/>
      <c r="BG40" s="439"/>
      <c r="BH40" s="439"/>
      <c r="BI40" s="439"/>
      <c r="BJ40" s="439"/>
      <c r="BK40" s="536">
        <f t="shared" si="11"/>
        <v>0</v>
      </c>
      <c r="BL40" s="536">
        <f t="shared" si="12"/>
        <v>0</v>
      </c>
    </row>
    <row r="41" spans="1:72" x14ac:dyDescent="0.25">
      <c r="A41" s="266">
        <f t="shared" si="2"/>
        <v>29</v>
      </c>
      <c r="B41" s="316" t="s">
        <v>25</v>
      </c>
      <c r="C41" s="9">
        <v>234440433.30000001</v>
      </c>
      <c r="D41" s="439">
        <f>'Common Adj'!F44</f>
        <v>1691573.0908041918</v>
      </c>
      <c r="E41" s="439">
        <f>'Common Adj'!N22</f>
        <v>251629.23732600003</v>
      </c>
      <c r="F41" s="439"/>
      <c r="G41" s="439"/>
      <c r="H41" s="439">
        <f>+'Common Adj'!AL33+'Common Adj'!AL38+'Common Adj'!AL39+'Common Adj'!AL46</f>
        <v>-148546495.51061568</v>
      </c>
      <c r="I41" s="439"/>
      <c r="J41" s="439"/>
      <c r="K41" s="439">
        <f>+'Common Adj'!BJ25</f>
        <v>-18951.694391689729</v>
      </c>
      <c r="L41" s="439">
        <f>+'Common Adj'!BR15</f>
        <v>-104992.07986000087</v>
      </c>
      <c r="M41" s="439"/>
      <c r="N41" s="439"/>
      <c r="O41" s="439"/>
      <c r="P41" s="439"/>
      <c r="Q41" s="439"/>
      <c r="R41" s="439">
        <f>+'Common Adj'!DN25</f>
        <v>19412.258474519269</v>
      </c>
      <c r="S41" s="439"/>
      <c r="T41" s="439"/>
      <c r="U41" s="439"/>
      <c r="V41" s="439"/>
      <c r="W41" s="439"/>
      <c r="X41" s="439"/>
      <c r="Y41" s="439">
        <f>-'Electric Adj'!F33</f>
        <v>0</v>
      </c>
      <c r="Z41" s="439">
        <f>+'Electric Adj'!N19</f>
        <v>86860.814999999944</v>
      </c>
      <c r="AA41" s="439"/>
      <c r="AB41" s="439"/>
      <c r="AC41" s="439"/>
      <c r="AD41" s="439"/>
      <c r="AE41" s="439"/>
      <c r="AF41" s="439"/>
      <c r="AG41" s="536">
        <f t="shared" si="9"/>
        <v>-146620963.88326266</v>
      </c>
      <c r="AH41" s="536">
        <f t="shared" si="10"/>
        <v>87819469.416737348</v>
      </c>
      <c r="AI41" s="439">
        <f>'Common Adj'!H44</f>
        <v>-1312558.2339361801</v>
      </c>
      <c r="AJ41" s="439">
        <f>'Common Adj'!P22</f>
        <v>438046.77651599795</v>
      </c>
      <c r="AK41" s="439"/>
      <c r="AL41" s="439">
        <f>+'Common Adj'!BT15</f>
        <v>104992.07986000087</v>
      </c>
      <c r="AM41" s="439"/>
      <c r="AN41" s="439"/>
      <c r="AO41" s="439">
        <f>+'Common Adj'!DP25</f>
        <v>182188.09454757578</v>
      </c>
      <c r="AP41" s="439"/>
      <c r="AQ41" s="439"/>
      <c r="AR41" s="439"/>
      <c r="AS41" s="439"/>
      <c r="AT41" s="439"/>
      <c r="AU41" s="439"/>
      <c r="AV41" s="439"/>
      <c r="AW41" s="439"/>
      <c r="AX41" s="439"/>
      <c r="AY41" s="439"/>
      <c r="AZ41" s="439"/>
      <c r="BA41" s="439"/>
      <c r="BB41" s="439">
        <f>+'Electric Adj'!H33</f>
        <v>56751.381884112845</v>
      </c>
      <c r="BC41" s="439">
        <f>+'Electric Adj'!P19</f>
        <v>-666966.23858081107</v>
      </c>
      <c r="BD41" s="439"/>
      <c r="BE41" s="439"/>
      <c r="BF41" s="439"/>
      <c r="BG41" s="439"/>
      <c r="BH41" s="439"/>
      <c r="BI41" s="439"/>
      <c r="BJ41" s="439"/>
      <c r="BK41" s="536">
        <f t="shared" si="11"/>
        <v>-1197546.1397093036</v>
      </c>
      <c r="BL41" s="536">
        <f t="shared" si="12"/>
        <v>86621923.277028039</v>
      </c>
    </row>
    <row r="42" spans="1:72" x14ac:dyDescent="0.25">
      <c r="A42" s="266">
        <f t="shared" si="2"/>
        <v>30</v>
      </c>
      <c r="B42" s="316" t="s">
        <v>26</v>
      </c>
      <c r="C42" s="9">
        <v>22841555.030000001</v>
      </c>
      <c r="D42" s="439">
        <f>'Common Adj'!F49</f>
        <v>2213719.029271021</v>
      </c>
      <c r="E42" s="439">
        <f>'Common Adj'!N27</f>
        <v>1308622.3983871499</v>
      </c>
      <c r="F42" s="439">
        <f>+'Common Adj'!V14</f>
        <v>96903246.731522843</v>
      </c>
      <c r="G42" s="439">
        <f>+'Common Adj'!AD21</f>
        <v>-33104040.978384849</v>
      </c>
      <c r="H42" s="439">
        <f>+'Common Adj'!AL50</f>
        <v>-519945.70634724048</v>
      </c>
      <c r="I42" s="439">
        <f>+'Common Adj'!AT19</f>
        <v>17703.099647703668</v>
      </c>
      <c r="J42" s="439">
        <f>+'Common Adj'!BB18</f>
        <v>80585.176452689804</v>
      </c>
      <c r="K42" s="439">
        <f>+'Common Adj'!BJ28</f>
        <v>48949.980307859136</v>
      </c>
      <c r="L42" s="439">
        <f>+'Common Adj'!BR19</f>
        <v>19095.317236382514</v>
      </c>
      <c r="M42" s="439">
        <f>+'Common Adj'!BZ20</f>
        <v>1409.2154804365487</v>
      </c>
      <c r="N42" s="439"/>
      <c r="O42" s="439">
        <f>+'Common Adj'!CP22</f>
        <v>-131996.32059662999</v>
      </c>
      <c r="P42" s="439">
        <f>+'Common Adj'!CX17</f>
        <v>-458849.79050937446</v>
      </c>
      <c r="Q42" s="439">
        <f>'Common Adj'!DF18</f>
        <v>85050.369389659259</v>
      </c>
      <c r="R42" s="439">
        <f>+'Common Adj'!DN29</f>
        <v>-16430.619345331426</v>
      </c>
      <c r="S42" s="439">
        <f>+'Common Adj'!DV32</f>
        <v>-3497.3229715031848</v>
      </c>
      <c r="T42" s="439">
        <f>'Common Adj'!ED23</f>
        <v>-6339.9404369538834</v>
      </c>
      <c r="U42" s="439"/>
      <c r="V42" s="439">
        <f>'Common Adj'!ET25</f>
        <v>-4493721.8109590504</v>
      </c>
      <c r="W42" s="439">
        <f>+'Common Adj'!FZ31</f>
        <v>90617.111287017076</v>
      </c>
      <c r="X42" s="439"/>
      <c r="Y42" s="439">
        <f>'Electric Adj'!F36</f>
        <v>-2017478.0250371571</v>
      </c>
      <c r="Z42" s="439">
        <f>+'Electric Adj'!N21</f>
        <v>-18240.771149999986</v>
      </c>
      <c r="AA42" s="439">
        <f>'Electric Adj'!V26</f>
        <v>44533.439999999995</v>
      </c>
      <c r="AB42" s="439"/>
      <c r="AC42" s="439">
        <f>'Electric Adj'!AL25</f>
        <v>-2924.2759000001502</v>
      </c>
      <c r="AD42" s="9">
        <f>'Electric Adj'!BB27+'Electric Adj'!BB28+'Electric Adj'!BB19+'Electric Adj'!BB20</f>
        <v>680428.34983163839</v>
      </c>
      <c r="AE42" s="439"/>
      <c r="AF42" s="439"/>
      <c r="AG42" s="536">
        <f t="shared" si="9"/>
        <v>60720494.657176331</v>
      </c>
      <c r="AH42" s="536">
        <f t="shared" si="10"/>
        <v>83562049.687176332</v>
      </c>
      <c r="AI42" s="439">
        <f>'Common Adj'!H49</f>
        <v>-6826087.1525476249</v>
      </c>
      <c r="AJ42" s="439">
        <f>'Common Adj'!P27</f>
        <v>2278104.9983769059</v>
      </c>
      <c r="AK42" s="439">
        <f>+'Common Adj'!AF21</f>
        <v>357152.48812509922</v>
      </c>
      <c r="AL42" s="439">
        <f>+'Common Adj'!BT19</f>
        <v>-19095.31723638187</v>
      </c>
      <c r="AM42" s="439">
        <f>+'Common Adj'!CB20</f>
        <v>-1409.2154804365487</v>
      </c>
      <c r="AN42" s="439">
        <f>'Common Adj'!DH18</f>
        <v>-117649.97503014863</v>
      </c>
      <c r="AO42" s="439">
        <f>+'Common Adj'!DP29</f>
        <v>-798413.9281708037</v>
      </c>
      <c r="AP42" s="439">
        <f>+'Common Adj'!DX32</f>
        <v>-55338.276006912813</v>
      </c>
      <c r="AQ42" s="439">
        <f>'Common Adj'!EF23</f>
        <v>-183749.17289675883</v>
      </c>
      <c r="AR42" s="439">
        <f>+'Common Adj'!FD19</f>
        <v>742132.43859999988</v>
      </c>
      <c r="AS42" s="439">
        <f>'Common Adj'!FL18</f>
        <v>-31930.008667454156</v>
      </c>
      <c r="AT42" s="439">
        <f>+'Common Adj'!FS37</f>
        <v>-1867203.7245126492</v>
      </c>
      <c r="AU42" s="439">
        <f>+'Common Adj'!GB31</f>
        <v>104880.10578661348</v>
      </c>
      <c r="AV42" s="439">
        <f>'Common Adj'!GJ37</f>
        <v>-3369986.5917692101</v>
      </c>
      <c r="AW42" s="439">
        <f>'Common Adj'!GR19</f>
        <v>126885.39543224999</v>
      </c>
      <c r="AX42" s="439"/>
      <c r="AY42" s="439">
        <f>+'Common Adj'!HH26</f>
        <v>-154849.66167536392</v>
      </c>
      <c r="AZ42" s="439">
        <f>'Common Adj'!HP20</f>
        <v>-353737.27900707163</v>
      </c>
      <c r="BA42" s="439">
        <f>'Common Adj'!HX29</f>
        <v>-150827.580547686</v>
      </c>
      <c r="BB42" s="439">
        <f>+'Electric Adj'!H36</f>
        <v>-4730372.7025290346</v>
      </c>
      <c r="BC42" s="439">
        <f>+'Electric Adj'!P21</f>
        <v>140062.91010197031</v>
      </c>
      <c r="BD42" s="439">
        <f>+'Electric Adj'!AN25</f>
        <v>-2839467.0780000007</v>
      </c>
      <c r="BE42" s="439">
        <f>'Electric Adj'!AV53</f>
        <v>2419018.0389976455</v>
      </c>
      <c r="BF42" s="439">
        <f>'Electric Adj'!BI27</f>
        <v>1190549.5001400001</v>
      </c>
      <c r="BG42" s="439">
        <f>'Electric Adj'!BT28</f>
        <v>-215298.42839004833</v>
      </c>
      <c r="BH42" s="439">
        <f>'Electric Adj'!CB28</f>
        <v>-660461.63147999998</v>
      </c>
      <c r="BI42" s="439">
        <f>+'Electric Adj'!CJ16</f>
        <v>11970</v>
      </c>
      <c r="BJ42" s="439"/>
      <c r="BK42" s="536">
        <f t="shared" si="11"/>
        <v>-15005121.8483871</v>
      </c>
      <c r="BL42" s="536">
        <f t="shared" si="12"/>
        <v>68556927.838789225</v>
      </c>
    </row>
    <row r="43" spans="1:72" x14ac:dyDescent="0.25">
      <c r="A43" s="266">
        <f t="shared" si="2"/>
        <v>31</v>
      </c>
      <c r="B43" s="1" t="s">
        <v>27</v>
      </c>
      <c r="C43" s="9">
        <v>38907707.560000002</v>
      </c>
      <c r="D43" s="439"/>
      <c r="E43" s="439"/>
      <c r="F43" s="439">
        <f>+'Common Adj'!V15</f>
        <v>-81967593.284695342</v>
      </c>
      <c r="G43" s="439"/>
      <c r="H43" s="439"/>
      <c r="I43" s="439"/>
      <c r="J43" s="439"/>
      <c r="K43" s="439"/>
      <c r="L43" s="439"/>
      <c r="M43" s="439"/>
      <c r="N43" s="439"/>
      <c r="O43" s="439"/>
      <c r="P43" s="439"/>
      <c r="Q43" s="439"/>
      <c r="R43" s="439"/>
      <c r="S43" s="439"/>
      <c r="T43" s="439"/>
      <c r="U43" s="439"/>
      <c r="V43" s="439"/>
      <c r="W43" s="439"/>
      <c r="X43" s="439"/>
      <c r="Y43" s="439"/>
      <c r="Z43" s="439"/>
      <c r="AA43" s="439"/>
      <c r="AB43" s="439">
        <f>+'Electric Adj'!AD21</f>
        <v>-8748915.1805999987</v>
      </c>
      <c r="AC43" s="439"/>
      <c r="AD43" s="439"/>
      <c r="AE43" s="439"/>
      <c r="AF43" s="439"/>
      <c r="AG43" s="536">
        <f t="shared" si="9"/>
        <v>-90716508.465295345</v>
      </c>
      <c r="AH43" s="536">
        <f t="shared" si="10"/>
        <v>-51808800.905295342</v>
      </c>
      <c r="AI43" s="439"/>
      <c r="AJ43" s="439"/>
      <c r="AK43" s="439"/>
      <c r="AL43" s="439"/>
      <c r="AM43" s="439"/>
      <c r="AN43" s="439"/>
      <c r="AO43" s="439"/>
      <c r="AP43" s="439"/>
      <c r="AQ43" s="439"/>
      <c r="AR43" s="439"/>
      <c r="AS43" s="439"/>
      <c r="AT43" s="439"/>
      <c r="AU43" s="439"/>
      <c r="AV43" s="439"/>
      <c r="AW43" s="439"/>
      <c r="AX43" s="439">
        <f>'Common Adj'!GY19</f>
        <v>-9006372.2399999984</v>
      </c>
      <c r="AY43" s="439"/>
      <c r="AZ43" s="439"/>
      <c r="BA43" s="439"/>
      <c r="BB43" s="439"/>
      <c r="BC43" s="439"/>
      <c r="BD43" s="439"/>
      <c r="BE43" s="439"/>
      <c r="BF43" s="439"/>
      <c r="BG43" s="439"/>
      <c r="BH43" s="439"/>
      <c r="BI43" s="439"/>
      <c r="BJ43" s="439"/>
      <c r="BK43" s="536">
        <f t="shared" si="11"/>
        <v>-9006372.2399999984</v>
      </c>
      <c r="BL43" s="536">
        <f t="shared" si="12"/>
        <v>-60815173.145295337</v>
      </c>
    </row>
    <row r="44" spans="1:72" x14ac:dyDescent="0.25">
      <c r="A44" s="266">
        <f t="shared" si="2"/>
        <v>32</v>
      </c>
      <c r="B44" s="316" t="s">
        <v>28</v>
      </c>
      <c r="C44" s="34">
        <f t="shared" ref="C44:AI44" si="13">SUM(C27:C43)</f>
        <v>2051942496.7299988</v>
      </c>
      <c r="D44" s="34">
        <f t="shared" si="13"/>
        <v>35716700.462070137</v>
      </c>
      <c r="E44" s="34">
        <f t="shared" si="13"/>
        <v>1628908.1679721498</v>
      </c>
      <c r="F44" s="34">
        <f t="shared" si="13"/>
        <v>14935653.446827501</v>
      </c>
      <c r="G44" s="34">
        <f t="shared" si="13"/>
        <v>-33104040.978384849</v>
      </c>
      <c r="H44" s="34">
        <f t="shared" si="13"/>
        <v>-188754338.42993236</v>
      </c>
      <c r="I44" s="34">
        <f t="shared" si="13"/>
        <v>-66597.374865170947</v>
      </c>
      <c r="J44" s="34">
        <f t="shared" si="13"/>
        <v>-303153.75903630909</v>
      </c>
      <c r="K44" s="34">
        <f t="shared" si="13"/>
        <v>-184145.16401528011</v>
      </c>
      <c r="L44" s="34">
        <f t="shared" si="13"/>
        <v>-71834.764841626398</v>
      </c>
      <c r="M44" s="34">
        <f t="shared" si="13"/>
        <v>-5301.3344264041589</v>
      </c>
      <c r="N44" s="34">
        <f t="shared" si="13"/>
        <v>803909.33835699933</v>
      </c>
      <c r="O44" s="34">
        <f t="shared" si="13"/>
        <v>496557.58700637007</v>
      </c>
      <c r="P44" s="34">
        <f t="shared" si="13"/>
        <v>1726149.211916219</v>
      </c>
      <c r="Q44" s="34">
        <f t="shared" si="13"/>
        <v>-319951.38960871822</v>
      </c>
      <c r="R44" s="34">
        <f t="shared" si="13"/>
        <v>61810.425156236211</v>
      </c>
      <c r="S44" s="34">
        <f t="shared" si="13"/>
        <v>13156.595940416744</v>
      </c>
      <c r="T44" s="34">
        <f t="shared" si="13"/>
        <v>23850.252119969373</v>
      </c>
      <c r="U44" s="34">
        <f t="shared" si="13"/>
        <v>0</v>
      </c>
      <c r="V44" s="34">
        <f t="shared" si="13"/>
        <v>16904953.479322143</v>
      </c>
      <c r="W44" s="34">
        <f t="shared" si="13"/>
        <v>-1199459.0724606833</v>
      </c>
      <c r="X44" s="34">
        <f t="shared" ref="X44" si="14">SUM(X27:X43)</f>
        <v>0</v>
      </c>
      <c r="Y44" s="34">
        <f t="shared" si="13"/>
        <v>7589560.1894254955</v>
      </c>
      <c r="Z44" s="34">
        <f t="shared" si="13"/>
        <v>68620.043849999958</v>
      </c>
      <c r="AA44" s="34">
        <f t="shared" si="13"/>
        <v>-167530.56</v>
      </c>
      <c r="AB44" s="34">
        <f t="shared" si="13"/>
        <v>32912585.679400001</v>
      </c>
      <c r="AC44" s="34">
        <f t="shared" si="13"/>
        <v>11000.8474333339</v>
      </c>
      <c r="AD44" s="34">
        <f t="shared" si="13"/>
        <v>-1668426.4785019332</v>
      </c>
      <c r="AE44" s="34">
        <f t="shared" si="13"/>
        <v>0</v>
      </c>
      <c r="AF44" s="34">
        <f t="shared" si="13"/>
        <v>0</v>
      </c>
      <c r="AG44" s="181">
        <f t="shared" si="13"/>
        <v>-112951363.57927634</v>
      </c>
      <c r="AH44" s="181">
        <f t="shared" si="13"/>
        <v>1938991133.1507223</v>
      </c>
      <c r="AI44" s="34">
        <f t="shared" si="13"/>
        <v>-8496774.2656541746</v>
      </c>
      <c r="AJ44" s="34">
        <f t="shared" ref="AJ44:BL44" si="15">SUM(AJ27:AJ43)</f>
        <v>2835671.9584869044</v>
      </c>
      <c r="AK44" s="34">
        <f t="shared" si="15"/>
        <v>357152.48812509922</v>
      </c>
      <c r="AL44" s="34">
        <f t="shared" si="15"/>
        <v>71834.764841627039</v>
      </c>
      <c r="AM44" s="34">
        <f t="shared" si="15"/>
        <v>5301.3344264041589</v>
      </c>
      <c r="AN44" s="34">
        <f t="shared" si="15"/>
        <v>442588.00130389305</v>
      </c>
      <c r="AO44" s="34">
        <f t="shared" si="15"/>
        <v>3003557.1583568119</v>
      </c>
      <c r="AP44" s="34">
        <f t="shared" si="15"/>
        <v>208177.32402600534</v>
      </c>
      <c r="AQ44" s="34">
        <f t="shared" si="15"/>
        <v>691246.88851637836</v>
      </c>
      <c r="AR44" s="34">
        <f t="shared" si="15"/>
        <v>-2791831.5547333327</v>
      </c>
      <c r="AS44" s="34">
        <f t="shared" si="15"/>
        <v>120117.65165375613</v>
      </c>
      <c r="AT44" s="34">
        <f t="shared" si="15"/>
        <v>7024242.582690442</v>
      </c>
      <c r="AU44" s="34">
        <f t="shared" si="15"/>
        <v>-394548.96938773646</v>
      </c>
      <c r="AV44" s="34">
        <f t="shared" si="15"/>
        <v>12677568.60713179</v>
      </c>
      <c r="AW44" s="34">
        <f t="shared" si="15"/>
        <v>-477330.77329275</v>
      </c>
      <c r="AX44" s="34">
        <f t="shared" si="15"/>
        <v>-9006372.2399999984</v>
      </c>
      <c r="AY44" s="34">
        <f t="shared" si="15"/>
        <v>582529.67963589286</v>
      </c>
      <c r="AZ44" s="34">
        <f t="shared" si="15"/>
        <v>1330725.9543599267</v>
      </c>
      <c r="BA44" s="34">
        <f t="shared" si="15"/>
        <v>567398.9934889141</v>
      </c>
      <c r="BB44" s="34">
        <f t="shared" si="15"/>
        <v>-168947676.46211043</v>
      </c>
      <c r="BC44" s="34">
        <f t="shared" si="15"/>
        <v>-526903.32847884076</v>
      </c>
      <c r="BD44" s="34">
        <f t="shared" si="15"/>
        <v>10681804.722000003</v>
      </c>
      <c r="BE44" s="34">
        <f t="shared" si="15"/>
        <v>-9100115.4800387621</v>
      </c>
      <c r="BF44" s="34">
        <f t="shared" si="15"/>
        <v>-4478733.8338600006</v>
      </c>
      <c r="BG44" s="34">
        <f t="shared" si="15"/>
        <v>809932.18299113424</v>
      </c>
      <c r="BH44" s="34">
        <f t="shared" si="15"/>
        <v>2484593.7565199998</v>
      </c>
      <c r="BI44" s="34">
        <f t="shared" si="15"/>
        <v>-45030</v>
      </c>
      <c r="BJ44" s="34">
        <f t="shared" si="15"/>
        <v>0</v>
      </c>
      <c r="BK44" s="181">
        <f t="shared" si="15"/>
        <v>-160370872.85900101</v>
      </c>
      <c r="BL44" s="181">
        <f t="shared" si="15"/>
        <v>1778620260.2917213</v>
      </c>
    </row>
    <row r="45" spans="1:72" x14ac:dyDescent="0.25">
      <c r="A45" s="266">
        <f t="shared" si="2"/>
        <v>33</v>
      </c>
      <c r="B45" s="1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639"/>
      <c r="AH45" s="639"/>
      <c r="AI45" s="10"/>
      <c r="AJ45" s="10"/>
      <c r="AK45" s="10"/>
      <c r="AL45" s="10">
        <f>+L45</f>
        <v>0</v>
      </c>
      <c r="AM45" s="10">
        <f>+M45</f>
        <v>0</v>
      </c>
      <c r="AN45" s="10"/>
      <c r="AO45" s="10"/>
      <c r="AP45" s="10"/>
      <c r="AQ45" s="10"/>
      <c r="AR45" s="10"/>
      <c r="AS45" s="10"/>
      <c r="AT45" s="10"/>
      <c r="AU45" s="10"/>
      <c r="AV45" s="10"/>
      <c r="AW45" s="10"/>
      <c r="AX45" s="10"/>
      <c r="AY45" s="10"/>
      <c r="AZ45" s="10"/>
      <c r="BA45" s="10"/>
      <c r="BB45" s="10"/>
      <c r="BC45" s="10"/>
      <c r="BD45" s="10"/>
      <c r="BE45" s="10"/>
      <c r="BF45" s="10"/>
      <c r="BG45" s="10"/>
      <c r="BH45" s="10"/>
      <c r="BI45" s="10"/>
      <c r="BJ45" s="10"/>
      <c r="BK45" s="639"/>
      <c r="BL45" s="639"/>
    </row>
    <row r="46" spans="1:72" ht="13.8" thickBot="1" x14ac:dyDescent="0.3">
      <c r="A46" s="266">
        <f t="shared" ref="A46:A64" si="16">A45+1</f>
        <v>34</v>
      </c>
      <c r="B46" s="1" t="s">
        <v>29</v>
      </c>
      <c r="C46" s="212">
        <f t="shared" ref="C46:AI46" si="17">+C18-C44</f>
        <v>391140691.10000062</v>
      </c>
      <c r="D46" s="212">
        <f t="shared" si="17"/>
        <v>8327800.1577338427</v>
      </c>
      <c r="E46" s="212">
        <f t="shared" si="17"/>
        <v>4922912.8320278507</v>
      </c>
      <c r="F46" s="212">
        <f t="shared" si="17"/>
        <v>-14935653.446827501</v>
      </c>
      <c r="G46" s="212">
        <f t="shared" si="17"/>
        <v>33104040.978384849</v>
      </c>
      <c r="H46" s="212">
        <f t="shared" si="17"/>
        <v>-1955986.2286396027</v>
      </c>
      <c r="I46" s="212">
        <f t="shared" si="17"/>
        <v>66597.374865170947</v>
      </c>
      <c r="J46" s="212">
        <f t="shared" si="17"/>
        <v>303153.75903630909</v>
      </c>
      <c r="K46" s="212">
        <f t="shared" si="17"/>
        <v>184145.16401528011</v>
      </c>
      <c r="L46" s="212">
        <f t="shared" si="17"/>
        <v>71834.764841626398</v>
      </c>
      <c r="M46" s="212">
        <f t="shared" si="17"/>
        <v>5301.3344264041589</v>
      </c>
      <c r="N46" s="212">
        <f t="shared" si="17"/>
        <v>-803909.33835699933</v>
      </c>
      <c r="O46" s="212">
        <f t="shared" si="17"/>
        <v>-496557.58700637007</v>
      </c>
      <c r="P46" s="212">
        <f t="shared" si="17"/>
        <v>-1726149.211916219</v>
      </c>
      <c r="Q46" s="212">
        <f t="shared" si="17"/>
        <v>319951.38960871822</v>
      </c>
      <c r="R46" s="212">
        <f t="shared" si="17"/>
        <v>-61810.425156236211</v>
      </c>
      <c r="S46" s="212">
        <f t="shared" si="17"/>
        <v>-13156.595940416744</v>
      </c>
      <c r="T46" s="212">
        <f t="shared" si="17"/>
        <v>-23850.252119969373</v>
      </c>
      <c r="U46" s="212">
        <f t="shared" si="17"/>
        <v>0</v>
      </c>
      <c r="V46" s="212">
        <f t="shared" si="17"/>
        <v>-16904953.479322143</v>
      </c>
      <c r="W46" s="212">
        <f t="shared" si="17"/>
        <v>340892.94246068329</v>
      </c>
      <c r="X46" s="212">
        <f t="shared" ref="X46" si="18">+X18-X44</f>
        <v>0</v>
      </c>
      <c r="Y46" s="212">
        <f t="shared" si="17"/>
        <v>-7589560.1894254955</v>
      </c>
      <c r="Z46" s="212">
        <f t="shared" si="17"/>
        <v>-68620.043849999958</v>
      </c>
      <c r="AA46" s="212">
        <f t="shared" si="17"/>
        <v>167530.56</v>
      </c>
      <c r="AB46" s="212">
        <f t="shared" si="17"/>
        <v>-32912585.679400001</v>
      </c>
      <c r="AC46" s="212">
        <f t="shared" si="17"/>
        <v>-11000.8474333339</v>
      </c>
      <c r="AD46" s="212">
        <f t="shared" si="17"/>
        <v>1668426.4785019332</v>
      </c>
      <c r="AE46" s="212">
        <f t="shared" si="17"/>
        <v>0</v>
      </c>
      <c r="AF46" s="212">
        <f t="shared" si="17"/>
        <v>0</v>
      </c>
      <c r="AG46" s="640">
        <f t="shared" si="17"/>
        <v>-28021205.58949165</v>
      </c>
      <c r="AH46" s="640">
        <f t="shared" si="17"/>
        <v>363119485.51050973</v>
      </c>
      <c r="AI46" s="212">
        <f t="shared" si="17"/>
        <v>-25679089.764345825</v>
      </c>
      <c r="AJ46" s="212">
        <f t="shared" ref="AJ46:BL46" si="19">+AJ18-AJ44</f>
        <v>8570014.0415130965</v>
      </c>
      <c r="AK46" s="212">
        <f t="shared" si="19"/>
        <v>-357152.48812509922</v>
      </c>
      <c r="AL46" s="212">
        <f t="shared" si="19"/>
        <v>-71834.764841627039</v>
      </c>
      <c r="AM46" s="212">
        <f t="shared" si="19"/>
        <v>-5301.3344264041589</v>
      </c>
      <c r="AN46" s="212">
        <f t="shared" si="19"/>
        <v>-442588.00130389305</v>
      </c>
      <c r="AO46" s="212">
        <f t="shared" si="19"/>
        <v>-3003557.1583568119</v>
      </c>
      <c r="AP46" s="212">
        <f t="shared" si="19"/>
        <v>-208177.32402600534</v>
      </c>
      <c r="AQ46" s="212">
        <f t="shared" si="19"/>
        <v>-691246.88851637836</v>
      </c>
      <c r="AR46" s="212">
        <f t="shared" si="19"/>
        <v>2791831.5547333327</v>
      </c>
      <c r="AS46" s="212">
        <f t="shared" si="19"/>
        <v>-120117.65165375613</v>
      </c>
      <c r="AT46" s="212">
        <f t="shared" si="19"/>
        <v>-7024242.582690442</v>
      </c>
      <c r="AU46" s="212">
        <f t="shared" si="19"/>
        <v>394548.96938773646</v>
      </c>
      <c r="AV46" s="212">
        <f t="shared" si="19"/>
        <v>-12677568.60713179</v>
      </c>
      <c r="AW46" s="212">
        <f t="shared" si="19"/>
        <v>477330.77329275</v>
      </c>
      <c r="AX46" s="212">
        <f t="shared" si="19"/>
        <v>9006372.2399999984</v>
      </c>
      <c r="AY46" s="212">
        <f t="shared" si="19"/>
        <v>-582529.67963589286</v>
      </c>
      <c r="AZ46" s="212">
        <f t="shared" si="19"/>
        <v>-1330725.9543599267</v>
      </c>
      <c r="BA46" s="212">
        <f t="shared" si="19"/>
        <v>-567398.9934889141</v>
      </c>
      <c r="BB46" s="212">
        <f t="shared" si="19"/>
        <v>-17795211.595228255</v>
      </c>
      <c r="BC46" s="212">
        <f t="shared" si="19"/>
        <v>526903.32847884076</v>
      </c>
      <c r="BD46" s="212">
        <f t="shared" si="19"/>
        <v>-10681804.722000003</v>
      </c>
      <c r="BE46" s="212">
        <f t="shared" si="19"/>
        <v>9100115.4800387621</v>
      </c>
      <c r="BF46" s="212">
        <f t="shared" si="19"/>
        <v>4478733.8338600006</v>
      </c>
      <c r="BG46" s="212">
        <f t="shared" si="19"/>
        <v>-809932.18299113424</v>
      </c>
      <c r="BH46" s="212">
        <f t="shared" si="19"/>
        <v>-2484593.7565199998</v>
      </c>
      <c r="BI46" s="212">
        <f t="shared" si="19"/>
        <v>45030</v>
      </c>
      <c r="BJ46" s="212">
        <f t="shared" si="19"/>
        <v>0</v>
      </c>
      <c r="BK46" s="640">
        <f t="shared" si="19"/>
        <v>-49142193.228337675</v>
      </c>
      <c r="BL46" s="640">
        <f t="shared" si="19"/>
        <v>313977292.28217196</v>
      </c>
    </row>
    <row r="47" spans="1:72" ht="15" thickTop="1" x14ac:dyDescent="0.3">
      <c r="A47" s="266">
        <f t="shared" si="16"/>
        <v>35</v>
      </c>
      <c r="B47" s="156"/>
      <c r="C47" s="206"/>
      <c r="D47" s="206"/>
      <c r="E47" s="206"/>
      <c r="F47" s="206"/>
      <c r="G47" s="206"/>
      <c r="H47" s="206"/>
      <c r="I47" s="206"/>
      <c r="J47" s="206"/>
      <c r="K47" s="206"/>
      <c r="L47" s="206"/>
      <c r="M47" s="206"/>
      <c r="N47" s="206"/>
      <c r="O47" s="206"/>
      <c r="P47" s="206"/>
      <c r="Q47" s="206"/>
      <c r="R47" s="206"/>
      <c r="S47" s="206"/>
      <c r="T47" s="206"/>
      <c r="U47" s="206"/>
      <c r="V47" s="206"/>
      <c r="W47" s="206"/>
      <c r="X47" s="206"/>
      <c r="Y47" s="206"/>
      <c r="Z47" s="206"/>
      <c r="AA47" s="206"/>
      <c r="AB47" s="206"/>
      <c r="AC47" s="206"/>
      <c r="AD47" s="206"/>
      <c r="AE47" s="206"/>
      <c r="AF47" s="206"/>
      <c r="AG47" s="206"/>
      <c r="AH47" s="206"/>
      <c r="AI47" s="206"/>
      <c r="AJ47" s="206"/>
      <c r="AK47" s="206"/>
      <c r="AL47" s="206"/>
      <c r="AM47" s="206"/>
      <c r="AN47" s="206"/>
      <c r="AO47" s="206"/>
      <c r="AP47" s="206"/>
      <c r="AQ47" s="206"/>
      <c r="AR47" s="206"/>
      <c r="AS47" s="206"/>
      <c r="AT47" s="206"/>
      <c r="AU47" s="206"/>
      <c r="AV47" s="206"/>
      <c r="AW47" s="206"/>
      <c r="AX47" s="206"/>
      <c r="AY47" s="206"/>
      <c r="AZ47" s="206"/>
      <c r="BA47" s="206"/>
      <c r="BB47" s="206"/>
      <c r="BC47" s="206"/>
      <c r="BD47" s="206"/>
      <c r="BE47" s="206"/>
      <c r="BF47" s="206"/>
      <c r="BG47" s="206"/>
      <c r="BH47" s="206"/>
      <c r="BI47" s="206"/>
      <c r="BJ47" s="206"/>
      <c r="BK47" s="206"/>
      <c r="BL47" s="206"/>
    </row>
    <row r="48" spans="1:72" s="221" customFormat="1" x14ac:dyDescent="0.25">
      <c r="A48" s="266">
        <f t="shared" si="16"/>
        <v>36</v>
      </c>
      <c r="B48" s="316" t="s">
        <v>30</v>
      </c>
      <c r="C48" s="8">
        <f t="shared" ref="C48:AE48" si="20">C59</f>
        <v>5208778506.3049917</v>
      </c>
      <c r="D48" s="8">
        <f t="shared" si="20"/>
        <v>0</v>
      </c>
      <c r="E48" s="8">
        <f t="shared" si="20"/>
        <v>0</v>
      </c>
      <c r="F48" s="8">
        <f t="shared" si="20"/>
        <v>0</v>
      </c>
      <c r="G48" s="8">
        <f t="shared" si="20"/>
        <v>0</v>
      </c>
      <c r="H48" s="8">
        <f t="shared" si="20"/>
        <v>0</v>
      </c>
      <c r="I48" s="8">
        <f t="shared" si="20"/>
        <v>0</v>
      </c>
      <c r="J48" s="8">
        <f t="shared" si="20"/>
        <v>0</v>
      </c>
      <c r="K48" s="8">
        <f t="shared" si="20"/>
        <v>0</v>
      </c>
      <c r="L48" s="8">
        <f t="shared" si="20"/>
        <v>0</v>
      </c>
      <c r="M48" s="8">
        <f t="shared" si="20"/>
        <v>0</v>
      </c>
      <c r="N48" s="8">
        <f t="shared" si="20"/>
        <v>0</v>
      </c>
      <c r="O48" s="8">
        <f t="shared" si="20"/>
        <v>0</v>
      </c>
      <c r="P48" s="8">
        <f t="shared" si="20"/>
        <v>0</v>
      </c>
      <c r="Q48" s="8">
        <f t="shared" si="20"/>
        <v>0</v>
      </c>
      <c r="R48" s="8">
        <f t="shared" si="20"/>
        <v>0</v>
      </c>
      <c r="S48" s="8">
        <f t="shared" si="20"/>
        <v>0</v>
      </c>
      <c r="T48" s="8">
        <f t="shared" si="20"/>
        <v>0</v>
      </c>
      <c r="U48" s="8">
        <f t="shared" si="20"/>
        <v>182818242.10345364</v>
      </c>
      <c r="V48" s="8">
        <f t="shared" si="20"/>
        <v>-16904953.479322143</v>
      </c>
      <c r="W48" s="8">
        <f t="shared" si="20"/>
        <v>0</v>
      </c>
      <c r="X48" s="8">
        <f t="shared" ref="X48" si="21">X59</f>
        <v>-211405.47488111624</v>
      </c>
      <c r="Y48" s="8">
        <f t="shared" si="20"/>
        <v>0</v>
      </c>
      <c r="Z48" s="8">
        <f t="shared" si="20"/>
        <v>0</v>
      </c>
      <c r="AA48" s="8">
        <f t="shared" si="20"/>
        <v>-1615371.4300000002</v>
      </c>
      <c r="AB48" s="8">
        <f t="shared" si="20"/>
        <v>0</v>
      </c>
      <c r="AC48" s="8">
        <f t="shared" si="20"/>
        <v>0</v>
      </c>
      <c r="AD48" s="8">
        <f t="shared" si="20"/>
        <v>-11018406.688827798</v>
      </c>
      <c r="AE48" s="8">
        <f t="shared" si="20"/>
        <v>0</v>
      </c>
      <c r="AF48" s="8">
        <f>'Electric Adj'!DF84+'Electric Adj'!DF104</f>
        <v>0</v>
      </c>
      <c r="AG48" s="180">
        <f t="shared" ref="AG48:BL48" si="22">AG59</f>
        <v>153068105.03042257</v>
      </c>
      <c r="AH48" s="180">
        <f t="shared" si="22"/>
        <v>5361846611.3354149</v>
      </c>
      <c r="AI48" s="8">
        <f t="shared" si="22"/>
        <v>0</v>
      </c>
      <c r="AJ48" s="8">
        <f t="shared" si="22"/>
        <v>0</v>
      </c>
      <c r="AK48" s="8">
        <f t="shared" si="22"/>
        <v>0</v>
      </c>
      <c r="AL48" s="8">
        <f t="shared" si="22"/>
        <v>0</v>
      </c>
      <c r="AM48" s="8">
        <f t="shared" si="22"/>
        <v>0</v>
      </c>
      <c r="AN48" s="8">
        <f t="shared" si="22"/>
        <v>0</v>
      </c>
      <c r="AO48" s="8">
        <f t="shared" si="22"/>
        <v>0</v>
      </c>
      <c r="AP48" s="8">
        <f t="shared" si="22"/>
        <v>0</v>
      </c>
      <c r="AQ48" s="8">
        <f t="shared" si="22"/>
        <v>0</v>
      </c>
      <c r="AR48" s="8">
        <f t="shared" si="22"/>
        <v>0</v>
      </c>
      <c r="AS48" s="8">
        <f t="shared" si="22"/>
        <v>0</v>
      </c>
      <c r="AT48" s="8">
        <f t="shared" si="22"/>
        <v>64963194.076797329</v>
      </c>
      <c r="AU48" s="8">
        <f t="shared" si="22"/>
        <v>0</v>
      </c>
      <c r="AV48" s="8">
        <f t="shared" si="22"/>
        <v>36080288.955627486</v>
      </c>
      <c r="AW48" s="8">
        <f t="shared" si="22"/>
        <v>0</v>
      </c>
      <c r="AX48" s="8">
        <f t="shared" si="22"/>
        <v>4503186.1200000085</v>
      </c>
      <c r="AY48" s="8">
        <f t="shared" si="22"/>
        <v>25767063.321957536</v>
      </c>
      <c r="AZ48" s="8">
        <f t="shared" si="22"/>
        <v>0</v>
      </c>
      <c r="BA48" s="8">
        <f t="shared" si="22"/>
        <v>5798357.5857409984</v>
      </c>
      <c r="BB48" s="8">
        <f t="shared" si="22"/>
        <v>0</v>
      </c>
      <c r="BC48" s="8">
        <f t="shared" si="22"/>
        <v>0</v>
      </c>
      <c r="BD48" s="8">
        <f t="shared" si="22"/>
        <v>0</v>
      </c>
      <c r="BE48" s="8">
        <f t="shared" si="22"/>
        <v>-23391891.903797138</v>
      </c>
      <c r="BF48" s="8">
        <f t="shared" si="22"/>
        <v>-3321469.9169705859</v>
      </c>
      <c r="BG48" s="8">
        <f t="shared" si="22"/>
        <v>34322392.17098815</v>
      </c>
      <c r="BH48" s="8">
        <f t="shared" si="22"/>
        <v>4143548.7960133362</v>
      </c>
      <c r="BI48" s="8">
        <f t="shared" si="22"/>
        <v>-550000</v>
      </c>
      <c r="BJ48" s="8">
        <f t="shared" si="22"/>
        <v>0</v>
      </c>
      <c r="BK48" s="180">
        <f t="shared" si="22"/>
        <v>148314669.20635712</v>
      </c>
      <c r="BL48" s="180">
        <f t="shared" si="22"/>
        <v>5510161280.5417719</v>
      </c>
    </row>
    <row r="49" spans="1:64" ht="14.4" x14ac:dyDescent="0.3">
      <c r="A49" s="266">
        <f t="shared" si="16"/>
        <v>37</v>
      </c>
      <c r="B49" s="1"/>
      <c r="F49" s="156"/>
      <c r="G49" s="156"/>
      <c r="H49" s="156"/>
      <c r="AG49" s="177"/>
      <c r="AH49" s="177"/>
      <c r="BK49" s="177"/>
      <c r="BL49" s="177"/>
    </row>
    <row r="50" spans="1:64" ht="14.4" x14ac:dyDescent="0.3">
      <c r="A50" s="266">
        <f t="shared" si="16"/>
        <v>38</v>
      </c>
      <c r="B50" s="316" t="s">
        <v>31</v>
      </c>
      <c r="C50" s="538">
        <f>+C46/C48</f>
        <v>7.5092594286077327E-2</v>
      </c>
      <c r="D50" s="439"/>
      <c r="E50" s="439"/>
      <c r="F50" s="156"/>
      <c r="G50" s="156"/>
      <c r="H50" s="156"/>
      <c r="I50" s="439"/>
      <c r="J50" s="439"/>
      <c r="K50" s="439"/>
      <c r="L50" s="439"/>
      <c r="M50" s="439"/>
      <c r="N50" s="439"/>
      <c r="O50" s="439"/>
      <c r="P50" s="439"/>
      <c r="Q50" s="439"/>
      <c r="R50" s="439"/>
      <c r="S50" s="439"/>
      <c r="T50" s="439"/>
      <c r="U50" s="439"/>
      <c r="V50" s="439"/>
      <c r="W50" s="439"/>
      <c r="X50" s="439"/>
      <c r="Y50" s="439"/>
      <c r="Z50" s="439"/>
      <c r="AA50" s="439"/>
      <c r="AB50" s="439"/>
      <c r="AC50" s="439"/>
      <c r="AD50" s="439"/>
      <c r="AE50" s="439"/>
      <c r="AF50" s="439"/>
      <c r="AG50" s="536"/>
      <c r="AH50" s="539">
        <f>+AH46/AH48</f>
        <v>6.772284099713767E-2</v>
      </c>
      <c r="AI50" s="439"/>
      <c r="AJ50" s="439"/>
      <c r="AK50" s="439"/>
      <c r="AL50" s="439"/>
      <c r="AM50" s="439"/>
      <c r="AN50" s="439"/>
      <c r="AO50" s="439"/>
      <c r="AP50" s="439"/>
      <c r="AQ50" s="439"/>
      <c r="AR50" s="439"/>
      <c r="AS50" s="439"/>
      <c r="AT50" s="439"/>
      <c r="AU50" s="439"/>
      <c r="AV50" s="439"/>
      <c r="AW50" s="439"/>
      <c r="AX50" s="439"/>
      <c r="AY50" s="439"/>
      <c r="AZ50" s="439"/>
      <c r="BA50" s="439"/>
      <c r="BB50" s="439"/>
      <c r="BC50" s="439"/>
      <c r="BD50" s="439"/>
      <c r="BE50" s="439"/>
      <c r="BF50" s="439"/>
      <c r="BG50" s="439"/>
      <c r="BH50" s="439"/>
      <c r="BI50" s="439"/>
      <c r="BJ50" s="439"/>
      <c r="BK50" s="536"/>
      <c r="BL50" s="539">
        <f>+BL46/BL48</f>
        <v>5.6981506764771317E-2</v>
      </c>
    </row>
    <row r="51" spans="1:64" ht="14.4" x14ac:dyDescent="0.3">
      <c r="A51" s="266">
        <f t="shared" si="16"/>
        <v>39</v>
      </c>
      <c r="B51" s="1"/>
      <c r="C51" s="439"/>
      <c r="D51" s="439"/>
      <c r="E51" s="439"/>
      <c r="F51" s="156"/>
      <c r="G51" s="156"/>
      <c r="H51" s="156"/>
      <c r="I51" s="439"/>
      <c r="J51" s="439"/>
      <c r="K51" s="439"/>
      <c r="L51" s="439"/>
      <c r="M51" s="439"/>
      <c r="N51" s="439"/>
      <c r="O51" s="439"/>
      <c r="P51" s="439"/>
      <c r="Q51" s="439"/>
      <c r="R51" s="439"/>
      <c r="S51" s="439"/>
      <c r="T51" s="439"/>
      <c r="U51" s="439"/>
      <c r="V51" s="439"/>
      <c r="W51" s="439"/>
      <c r="X51" s="439"/>
      <c r="Y51" s="439"/>
      <c r="Z51" s="439"/>
      <c r="AA51" s="439"/>
      <c r="AB51" s="439"/>
      <c r="AC51" s="439"/>
      <c r="AD51" s="439"/>
      <c r="AE51" s="439"/>
      <c r="AF51" s="439"/>
      <c r="AG51" s="536"/>
      <c r="AH51" s="536"/>
      <c r="AI51" s="439"/>
      <c r="AJ51" s="439"/>
      <c r="AK51" s="439"/>
      <c r="AL51" s="439"/>
      <c r="AM51" s="439"/>
      <c r="AN51" s="439"/>
      <c r="AO51" s="439"/>
      <c r="AP51" s="439"/>
      <c r="AQ51" s="439"/>
      <c r="AR51" s="439"/>
      <c r="AS51" s="439"/>
      <c r="AT51" s="439"/>
      <c r="AU51" s="439"/>
      <c r="AV51" s="439"/>
      <c r="AW51" s="439"/>
      <c r="AX51" s="439"/>
      <c r="AY51" s="439"/>
      <c r="AZ51" s="439"/>
      <c r="BA51" s="439"/>
      <c r="BB51" s="439"/>
      <c r="BC51" s="439"/>
      <c r="BD51" s="439"/>
      <c r="BE51" s="439"/>
      <c r="BF51" s="439"/>
      <c r="BG51" s="439"/>
      <c r="BH51" s="439"/>
      <c r="BI51" s="439"/>
      <c r="BJ51" s="439"/>
      <c r="BK51" s="536"/>
      <c r="BL51" s="536"/>
    </row>
    <row r="52" spans="1:64" ht="14.4" x14ac:dyDescent="0.3">
      <c r="A52" s="266">
        <f t="shared" si="16"/>
        <v>40</v>
      </c>
      <c r="B52" s="1" t="s">
        <v>32</v>
      </c>
      <c r="C52" s="439"/>
      <c r="D52" s="439"/>
      <c r="E52" s="439"/>
      <c r="F52" s="156"/>
      <c r="G52" s="156"/>
      <c r="H52" s="156"/>
      <c r="I52" s="439"/>
      <c r="J52" s="439"/>
      <c r="K52" s="439"/>
      <c r="L52" s="439"/>
      <c r="M52" s="439"/>
      <c r="N52" s="439"/>
      <c r="O52" s="439"/>
      <c r="P52" s="439"/>
      <c r="Q52" s="439"/>
      <c r="R52" s="439"/>
      <c r="S52" s="439"/>
      <c r="T52" s="439"/>
      <c r="U52" s="439"/>
      <c r="V52" s="439"/>
      <c r="W52" s="439"/>
      <c r="X52" s="439"/>
      <c r="Y52" s="439"/>
      <c r="Z52" s="439"/>
      <c r="AA52" s="439"/>
      <c r="AB52" s="439"/>
      <c r="AC52" s="439"/>
      <c r="AD52" s="439"/>
      <c r="AE52" s="439"/>
      <c r="AF52" s="439"/>
      <c r="AG52" s="536"/>
      <c r="AH52" s="536"/>
      <c r="AI52" s="439"/>
      <c r="AJ52" s="439"/>
      <c r="AK52" s="439"/>
      <c r="AL52" s="439"/>
      <c r="AM52" s="439"/>
      <c r="AN52" s="439"/>
      <c r="AO52" s="439"/>
      <c r="AP52" s="439"/>
      <c r="AQ52" s="439"/>
      <c r="AR52" s="439"/>
      <c r="AS52" s="439"/>
      <c r="AT52" s="439"/>
      <c r="AU52" s="439"/>
      <c r="AV52" s="439"/>
      <c r="AW52" s="439"/>
      <c r="AX52" s="439"/>
      <c r="AY52" s="439"/>
      <c r="AZ52" s="439"/>
      <c r="BA52" s="439"/>
      <c r="BB52" s="439"/>
      <c r="BC52" s="439"/>
      <c r="BD52" s="439"/>
      <c r="BE52" s="439"/>
      <c r="BF52" s="439"/>
      <c r="BG52" s="439"/>
      <c r="BH52" s="439"/>
      <c r="BI52" s="439"/>
      <c r="BJ52" s="439"/>
      <c r="BK52" s="536"/>
      <c r="BL52" s="536"/>
    </row>
    <row r="53" spans="1:64" x14ac:dyDescent="0.25">
      <c r="A53" s="266">
        <f t="shared" si="16"/>
        <v>41</v>
      </c>
      <c r="B53" s="422" t="s">
        <v>33</v>
      </c>
      <c r="C53" s="8">
        <v>10572466950.394854</v>
      </c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>
        <f>'Common Adj'!EL14</f>
        <v>326078876.75844002</v>
      </c>
      <c r="X53" s="8">
        <f>+'Common Adj'!ID16</f>
        <v>-227315.75601419382</v>
      </c>
      <c r="Y53" s="8"/>
      <c r="Z53" s="8"/>
      <c r="AA53" s="8">
        <f>'Electric Adj'!V16</f>
        <v>-4539000</v>
      </c>
      <c r="AB53" s="8"/>
      <c r="AC53" s="8"/>
      <c r="AD53" s="8"/>
      <c r="AE53" s="8"/>
      <c r="AF53" s="8"/>
      <c r="AG53" s="180">
        <f t="shared" ref="AG53:AG58" si="23">SUM(D53:AF53)</f>
        <v>321312561.00242585</v>
      </c>
      <c r="AH53" s="180">
        <f t="shared" ref="AH53:AH58" si="24">+AG53+C53</f>
        <v>10893779511.39728</v>
      </c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>
        <f>+'Common Adj'!FS16</f>
        <v>65931132.660367854</v>
      </c>
      <c r="AU53" s="8">
        <f>+'Common Adj'!GB37</f>
        <v>0</v>
      </c>
      <c r="AV53" s="8">
        <f>'Common Adj'!GJ16</f>
        <v>33364266.499817003</v>
      </c>
      <c r="AW53" s="8"/>
      <c r="AX53" s="8"/>
      <c r="AY53" s="8">
        <f>+'Common Adj'!HH15</f>
        <v>27187950.539999999</v>
      </c>
      <c r="AZ53" s="8"/>
      <c r="BA53" s="8">
        <f>'Common Adj'!HX16</f>
        <v>7182265.7403660007</v>
      </c>
      <c r="BB53" s="8"/>
      <c r="BC53" s="8"/>
      <c r="BD53" s="8"/>
      <c r="BE53" s="8"/>
      <c r="BF53" s="8">
        <f>'Electric Adj'!BL17</f>
        <v>-16990239.199999999</v>
      </c>
      <c r="BG53" s="8">
        <f>'Electric Adj'!BT17</f>
        <v>36082401.649999999</v>
      </c>
      <c r="BH53" s="8">
        <f>'Electric Adj'!CB17</f>
        <v>9767242.3700000029</v>
      </c>
      <c r="BI53" s="8">
        <f>+'Electric Adj'!CJ20</f>
        <v>-3209000</v>
      </c>
      <c r="BJ53" s="8"/>
      <c r="BK53" s="180">
        <f t="shared" ref="BK53:BK58" si="25">SUM(AI53:BJ53)</f>
        <v>159316020.26055086</v>
      </c>
      <c r="BL53" s="180">
        <f t="shared" ref="BL53:BL58" si="26">+BK53+AH53</f>
        <v>11053095531.657831</v>
      </c>
    </row>
    <row r="54" spans="1:64" x14ac:dyDescent="0.25">
      <c r="A54" s="266">
        <f t="shared" si="16"/>
        <v>42</v>
      </c>
      <c r="B54" s="422" t="s">
        <v>34</v>
      </c>
      <c r="C54" s="9">
        <v>-4244925258.0010071</v>
      </c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>
        <f>'Common Adj'!EL15</f>
        <v>-143742277.5314436</v>
      </c>
      <c r="V54" s="9">
        <f>'Common Adj'!ET30</f>
        <v>-21398675.290281195</v>
      </c>
      <c r="W54" s="9"/>
      <c r="X54" s="9"/>
      <c r="Y54" s="9"/>
      <c r="Z54" s="9"/>
      <c r="AA54" s="8">
        <f>'Electric Adj'!V17</f>
        <v>2120000</v>
      </c>
      <c r="AB54" s="9"/>
      <c r="AC54" s="9"/>
      <c r="AD54" s="9">
        <f>'Electric Adj'!BB32</f>
        <v>-16445383.11765343</v>
      </c>
      <c r="AE54" s="9"/>
      <c r="AF54" s="9"/>
      <c r="AG54" s="536">
        <f t="shared" si="23"/>
        <v>-179466335.93937823</v>
      </c>
      <c r="AH54" s="536">
        <f t="shared" si="24"/>
        <v>-4424391593.9403849</v>
      </c>
      <c r="AI54" s="439"/>
      <c r="AJ54" s="439"/>
      <c r="AK54" s="439"/>
      <c r="AL54" s="439"/>
      <c r="AM54" s="439"/>
      <c r="AN54" s="439"/>
      <c r="AO54" s="439"/>
      <c r="AP54" s="439"/>
      <c r="AQ54" s="439"/>
      <c r="AR54" s="439"/>
      <c r="AS54" s="439"/>
      <c r="AT54" s="439">
        <f>+'Common Adj'!FS17</f>
        <v>-4692721.0285460567</v>
      </c>
      <c r="AU54" s="439">
        <f>+'Common Adj'!GB38</f>
        <v>0</v>
      </c>
      <c r="AV54" s="439">
        <f>'Common Adj'!GJ17</f>
        <v>-11787724.8131209</v>
      </c>
      <c r="AW54" s="439"/>
      <c r="AX54" s="439"/>
      <c r="AY54" s="8">
        <f>+'Common Adj'!HH16</f>
        <v>-1168151.1680902059</v>
      </c>
      <c r="AZ54" s="439"/>
      <c r="BA54" s="439">
        <f>'Common Adj'!HX17</f>
        <v>-987239.14981850027</v>
      </c>
      <c r="BB54" s="439"/>
      <c r="BC54" s="439"/>
      <c r="BD54" s="439"/>
      <c r="BE54" s="439"/>
      <c r="BF54" s="439">
        <f>'Electric Adj'!BL18</f>
        <v>12688074.934416663</v>
      </c>
      <c r="BG54" s="439">
        <f>'Electric Adj'!BT18</f>
        <v>-1470354.9901012282</v>
      </c>
      <c r="BH54" s="439">
        <f>'Electric Adj'!CB18</f>
        <v>-5377313.4895000001</v>
      </c>
      <c r="BI54" s="439">
        <f>+'Electric Adj'!CJ21</f>
        <v>2659000</v>
      </c>
      <c r="BJ54" s="439"/>
      <c r="BK54" s="536">
        <f t="shared" si="25"/>
        <v>-10136429.704760225</v>
      </c>
      <c r="BL54" s="536">
        <f t="shared" si="26"/>
        <v>-4434528023.6451454</v>
      </c>
    </row>
    <row r="55" spans="1:64" x14ac:dyDescent="0.25">
      <c r="A55" s="266">
        <f t="shared" si="16"/>
        <v>43</v>
      </c>
      <c r="B55" s="1" t="s">
        <v>35</v>
      </c>
      <c r="C55" s="9">
        <v>285841342.02833331</v>
      </c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>
        <f>'Common Adj'!EL16</f>
        <v>-12697238.698333323</v>
      </c>
      <c r="V55" s="9"/>
      <c r="W55" s="9"/>
      <c r="X55" s="9"/>
      <c r="Y55" s="9"/>
      <c r="Z55" s="9"/>
      <c r="AA55" s="8"/>
      <c r="AB55" s="9"/>
      <c r="AC55" s="9"/>
      <c r="AD55" s="9"/>
      <c r="AE55" s="9"/>
      <c r="AF55" s="9"/>
      <c r="AG55" s="536">
        <f t="shared" si="23"/>
        <v>-12697238.698333323</v>
      </c>
      <c r="AH55" s="536">
        <f t="shared" si="24"/>
        <v>273144103.32999998</v>
      </c>
      <c r="AI55" s="439"/>
      <c r="AJ55" s="439"/>
      <c r="AK55" s="439"/>
      <c r="AL55" s="439"/>
      <c r="AM55" s="439"/>
      <c r="AN55" s="439"/>
      <c r="AO55" s="439"/>
      <c r="AP55" s="439"/>
      <c r="AQ55" s="439"/>
      <c r="AR55" s="439"/>
      <c r="AS55" s="439"/>
      <c r="AT55" s="439">
        <f>+'Common Adj'!FS21+'Common Adj'!FS22</f>
        <v>10680268.879542366</v>
      </c>
      <c r="AU55" s="439"/>
      <c r="AV55" s="439">
        <f>'Common Adj'!GJ22+'Common Adj'!GI23</f>
        <v>19017837.9440451</v>
      </c>
      <c r="AW55" s="439"/>
      <c r="AX55" s="439"/>
      <c r="AY55" s="8"/>
      <c r="AZ55" s="439"/>
      <c r="BA55" s="439">
        <f>'Common Adj'!HX18</f>
        <v>-396669.00480650162</v>
      </c>
      <c r="BB55" s="439"/>
      <c r="BC55" s="439"/>
      <c r="BD55" s="439"/>
      <c r="BE55" s="439">
        <f>'Electric Adj'!AR61</f>
        <v>-31039847.298310034</v>
      </c>
      <c r="BF55" s="439"/>
      <c r="BG55" s="439"/>
      <c r="BH55" s="439"/>
      <c r="BI55" s="439"/>
      <c r="BJ55" s="439"/>
      <c r="BK55" s="536">
        <f t="shared" si="25"/>
        <v>-1738409.4795290679</v>
      </c>
      <c r="BL55" s="536">
        <f t="shared" si="26"/>
        <v>271405693.8504709</v>
      </c>
    </row>
    <row r="56" spans="1:64" x14ac:dyDescent="0.25">
      <c r="A56" s="266">
        <f t="shared" si="16"/>
        <v>44</v>
      </c>
      <c r="B56" s="1" t="s">
        <v>36</v>
      </c>
      <c r="C56" s="9">
        <v>-1443684469.5857882</v>
      </c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>
        <f>'Common Adj'!EL17</f>
        <v>22974386.588703156</v>
      </c>
      <c r="V56" s="9">
        <f>'Common Adj'!ET31</f>
        <v>4493721.8109590504</v>
      </c>
      <c r="W56" s="9"/>
      <c r="X56" s="9">
        <f>+'Common Adj'!ID17</f>
        <v>15910.281133077566</v>
      </c>
      <c r="Y56" s="9"/>
      <c r="Z56" s="9"/>
      <c r="AA56" s="8">
        <f>'Electric Adj'!V18</f>
        <v>803628.57</v>
      </c>
      <c r="AB56" s="9"/>
      <c r="AC56" s="9"/>
      <c r="AD56" s="24">
        <f>SUM('Electric Adj'!BB33:'Electric Adj'!BB34)</f>
        <v>5426976.4288256317</v>
      </c>
      <c r="AE56" s="9"/>
      <c r="AF56" s="9"/>
      <c r="AG56" s="536">
        <f t="shared" si="23"/>
        <v>33714623.679620914</v>
      </c>
      <c r="AH56" s="536">
        <f t="shared" si="24"/>
        <v>-1409969845.9061673</v>
      </c>
      <c r="AI56" s="439"/>
      <c r="AJ56" s="439"/>
      <c r="AK56" s="439"/>
      <c r="AL56" s="439"/>
      <c r="AM56" s="439"/>
      <c r="AN56" s="439"/>
      <c r="AO56" s="439"/>
      <c r="AP56" s="439"/>
      <c r="AQ56" s="439"/>
      <c r="AR56" s="439"/>
      <c r="AS56" s="439"/>
      <c r="AT56" s="439">
        <f>+'Common Adj'!FS18+'Common Adj'!FS23</f>
        <v>-6955486.4345668331</v>
      </c>
      <c r="AU56" s="439">
        <f>+'Common Adj'!GB39</f>
        <v>0</v>
      </c>
      <c r="AV56" s="439">
        <f>'Common Adj'!GJ18+'Common Adj'!GJ24</f>
        <v>-4514090.6751137236</v>
      </c>
      <c r="AW56" s="439"/>
      <c r="AX56" s="439">
        <f>'Common Adj'!GZ16</f>
        <v>4503186.1200000085</v>
      </c>
      <c r="AY56" s="8">
        <f>+'Common Adj'!HH17</f>
        <v>-252736.04995225731</v>
      </c>
      <c r="AZ56" s="439"/>
      <c r="BA56" s="439"/>
      <c r="BB56" s="439"/>
      <c r="BC56" s="439"/>
      <c r="BD56" s="439"/>
      <c r="BE56" s="439">
        <f>'Electric Adj'!AR62</f>
        <v>7647955.3945128955</v>
      </c>
      <c r="BF56" s="439">
        <f>'Electric Adj'!BL19</f>
        <v>980694.34861275041</v>
      </c>
      <c r="BG56" s="439">
        <f>'Electric Adj'!BT19</f>
        <v>-289654.4889106233</v>
      </c>
      <c r="BH56" s="439">
        <f>+'Electric Adj'!CB19</f>
        <v>-246380.08448666657</v>
      </c>
      <c r="BI56" s="439"/>
      <c r="BJ56" s="439"/>
      <c r="BK56" s="536">
        <f t="shared" si="25"/>
        <v>873488.13009555126</v>
      </c>
      <c r="BL56" s="536">
        <f t="shared" si="26"/>
        <v>-1409096357.7760718</v>
      </c>
    </row>
    <row r="57" spans="1:64" x14ac:dyDescent="0.25">
      <c r="A57" s="266">
        <f t="shared" si="16"/>
        <v>45</v>
      </c>
      <c r="B57" s="1" t="s">
        <v>37</v>
      </c>
      <c r="C57" s="9">
        <v>145303204.9988502</v>
      </c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>
        <f>'Common Adj'!EL18</f>
        <v>-7927989.0496875346</v>
      </c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641">
        <f t="shared" si="23"/>
        <v>-7927989.0496875346</v>
      </c>
      <c r="AH57" s="536">
        <f t="shared" si="24"/>
        <v>137375215.94916266</v>
      </c>
      <c r="AI57" s="439"/>
      <c r="AJ57" s="439"/>
      <c r="AK57" s="439"/>
      <c r="AL57" s="439"/>
      <c r="AM57" s="439"/>
      <c r="AN57" s="439"/>
      <c r="AO57" s="439"/>
      <c r="AP57" s="439"/>
      <c r="AQ57" s="439"/>
      <c r="AR57" s="439"/>
      <c r="AS57" s="439"/>
      <c r="AT57" s="439"/>
      <c r="AU57" s="439"/>
      <c r="AV57" s="439"/>
      <c r="AW57" s="439"/>
      <c r="AX57" s="439"/>
      <c r="AY57" s="439"/>
      <c r="AZ57" s="439"/>
      <c r="BA57" s="439"/>
      <c r="BB57" s="439"/>
      <c r="BC57" s="439"/>
      <c r="BD57" s="439"/>
      <c r="BE57" s="439"/>
      <c r="BF57" s="439"/>
      <c r="BG57" s="439"/>
      <c r="BH57" s="439"/>
      <c r="BI57" s="439"/>
      <c r="BJ57" s="439"/>
      <c r="BK57" s="536">
        <f t="shared" si="25"/>
        <v>0</v>
      </c>
      <c r="BL57" s="536">
        <f t="shared" si="26"/>
        <v>137375215.94916266</v>
      </c>
    </row>
    <row r="58" spans="1:64" x14ac:dyDescent="0.25">
      <c r="A58" s="266">
        <f t="shared" si="16"/>
        <v>46</v>
      </c>
      <c r="B58" s="1" t="s">
        <v>38</v>
      </c>
      <c r="C58" s="9">
        <v>-106223263.53024991</v>
      </c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>
        <f>'Common Adj'!EL19</f>
        <v>-1867515.9642250985</v>
      </c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536">
        <f t="shared" si="23"/>
        <v>-1867515.9642250985</v>
      </c>
      <c r="AH58" s="536">
        <f t="shared" si="24"/>
        <v>-108090779.49447501</v>
      </c>
      <c r="AI58" s="439"/>
      <c r="AJ58" s="439"/>
      <c r="AK58" s="439"/>
      <c r="AL58" s="439"/>
      <c r="AM58" s="439"/>
      <c r="AN58" s="439"/>
      <c r="AO58" s="439"/>
      <c r="AP58" s="439"/>
      <c r="AQ58" s="439"/>
      <c r="AR58" s="439"/>
      <c r="AS58" s="439"/>
      <c r="AT58" s="439"/>
      <c r="AU58" s="439"/>
      <c r="AV58" s="439"/>
      <c r="AW58" s="439"/>
      <c r="AX58" s="439"/>
      <c r="AY58" s="439"/>
      <c r="AZ58" s="439"/>
      <c r="BA58" s="439"/>
      <c r="BB58" s="439"/>
      <c r="BC58" s="439"/>
      <c r="BD58" s="439"/>
      <c r="BE58" s="439"/>
      <c r="BF58" s="439"/>
      <c r="BG58" s="439"/>
      <c r="BH58" s="439"/>
      <c r="BI58" s="439"/>
      <c r="BJ58" s="439"/>
      <c r="BK58" s="536">
        <f t="shared" si="25"/>
        <v>0</v>
      </c>
      <c r="BL58" s="536">
        <f t="shared" si="26"/>
        <v>-108090779.49447501</v>
      </c>
    </row>
    <row r="59" spans="1:64" ht="13.8" thickBot="1" x14ac:dyDescent="0.3">
      <c r="A59" s="266">
        <f t="shared" si="16"/>
        <v>47</v>
      </c>
      <c r="B59" s="1" t="s">
        <v>39</v>
      </c>
      <c r="C59" s="35">
        <f t="shared" ref="C59:AI59" si="27">SUM(C53:C58)</f>
        <v>5208778506.3049917</v>
      </c>
      <c r="D59" s="35">
        <f t="shared" si="27"/>
        <v>0</v>
      </c>
      <c r="E59" s="35">
        <f t="shared" si="27"/>
        <v>0</v>
      </c>
      <c r="F59" s="35">
        <f t="shared" si="27"/>
        <v>0</v>
      </c>
      <c r="G59" s="35">
        <f t="shared" si="27"/>
        <v>0</v>
      </c>
      <c r="H59" s="35">
        <f t="shared" si="27"/>
        <v>0</v>
      </c>
      <c r="I59" s="35">
        <f t="shared" si="27"/>
        <v>0</v>
      </c>
      <c r="J59" s="35">
        <f t="shared" si="27"/>
        <v>0</v>
      </c>
      <c r="K59" s="35">
        <f t="shared" si="27"/>
        <v>0</v>
      </c>
      <c r="L59" s="35">
        <f t="shared" si="27"/>
        <v>0</v>
      </c>
      <c r="M59" s="35">
        <f t="shared" si="27"/>
        <v>0</v>
      </c>
      <c r="N59" s="35">
        <f t="shared" si="27"/>
        <v>0</v>
      </c>
      <c r="O59" s="35">
        <f t="shared" si="27"/>
        <v>0</v>
      </c>
      <c r="P59" s="35">
        <f t="shared" si="27"/>
        <v>0</v>
      </c>
      <c r="Q59" s="35">
        <f t="shared" si="27"/>
        <v>0</v>
      </c>
      <c r="R59" s="35">
        <f t="shared" si="27"/>
        <v>0</v>
      </c>
      <c r="S59" s="35">
        <f t="shared" si="27"/>
        <v>0</v>
      </c>
      <c r="T59" s="35">
        <f t="shared" si="27"/>
        <v>0</v>
      </c>
      <c r="U59" s="35">
        <f t="shared" si="27"/>
        <v>182818242.10345364</v>
      </c>
      <c r="V59" s="35">
        <f t="shared" si="27"/>
        <v>-16904953.479322143</v>
      </c>
      <c r="W59" s="35">
        <f t="shared" si="27"/>
        <v>0</v>
      </c>
      <c r="X59" s="35">
        <f t="shared" ref="X59" si="28">SUM(X53:X58)</f>
        <v>-211405.47488111624</v>
      </c>
      <c r="Y59" s="35">
        <f t="shared" si="27"/>
        <v>0</v>
      </c>
      <c r="Z59" s="35">
        <f t="shared" si="27"/>
        <v>0</v>
      </c>
      <c r="AA59" s="35">
        <f t="shared" si="27"/>
        <v>-1615371.4300000002</v>
      </c>
      <c r="AB59" s="35">
        <f t="shared" si="27"/>
        <v>0</v>
      </c>
      <c r="AC59" s="35">
        <f t="shared" si="27"/>
        <v>0</v>
      </c>
      <c r="AD59" s="35">
        <f t="shared" si="27"/>
        <v>-11018406.688827798</v>
      </c>
      <c r="AE59" s="35">
        <f t="shared" si="27"/>
        <v>0</v>
      </c>
      <c r="AF59" s="35">
        <f t="shared" si="27"/>
        <v>0</v>
      </c>
      <c r="AG59" s="642">
        <f t="shared" si="27"/>
        <v>153068105.03042257</v>
      </c>
      <c r="AH59" s="642">
        <f t="shared" si="27"/>
        <v>5361846611.3354149</v>
      </c>
      <c r="AI59" s="35">
        <f t="shared" si="27"/>
        <v>0</v>
      </c>
      <c r="AJ59" s="35">
        <f t="shared" ref="AJ59:BL59" si="29">SUM(AJ53:AJ58)</f>
        <v>0</v>
      </c>
      <c r="AK59" s="35">
        <f t="shared" si="29"/>
        <v>0</v>
      </c>
      <c r="AL59" s="35">
        <f t="shared" si="29"/>
        <v>0</v>
      </c>
      <c r="AM59" s="35">
        <f t="shared" si="29"/>
        <v>0</v>
      </c>
      <c r="AN59" s="35">
        <f t="shared" si="29"/>
        <v>0</v>
      </c>
      <c r="AO59" s="35">
        <f t="shared" si="29"/>
        <v>0</v>
      </c>
      <c r="AP59" s="35">
        <f t="shared" si="29"/>
        <v>0</v>
      </c>
      <c r="AQ59" s="35">
        <f t="shared" si="29"/>
        <v>0</v>
      </c>
      <c r="AR59" s="35">
        <f t="shared" si="29"/>
        <v>0</v>
      </c>
      <c r="AS59" s="35">
        <f t="shared" si="29"/>
        <v>0</v>
      </c>
      <c r="AT59" s="35">
        <f t="shared" si="29"/>
        <v>64963194.076797329</v>
      </c>
      <c r="AU59" s="35">
        <f t="shared" si="29"/>
        <v>0</v>
      </c>
      <c r="AV59" s="35">
        <f t="shared" si="29"/>
        <v>36080288.955627486</v>
      </c>
      <c r="AW59" s="35">
        <f t="shared" si="29"/>
        <v>0</v>
      </c>
      <c r="AX59" s="35">
        <f t="shared" si="29"/>
        <v>4503186.1200000085</v>
      </c>
      <c r="AY59" s="35">
        <f t="shared" si="29"/>
        <v>25767063.321957536</v>
      </c>
      <c r="AZ59" s="35">
        <f t="shared" si="29"/>
        <v>0</v>
      </c>
      <c r="BA59" s="35">
        <f t="shared" si="29"/>
        <v>5798357.5857409984</v>
      </c>
      <c r="BB59" s="35">
        <f t="shared" si="29"/>
        <v>0</v>
      </c>
      <c r="BC59" s="35">
        <f t="shared" si="29"/>
        <v>0</v>
      </c>
      <c r="BD59" s="35">
        <f t="shared" si="29"/>
        <v>0</v>
      </c>
      <c r="BE59" s="35">
        <f t="shared" si="29"/>
        <v>-23391891.903797138</v>
      </c>
      <c r="BF59" s="35">
        <f t="shared" si="29"/>
        <v>-3321469.9169705859</v>
      </c>
      <c r="BG59" s="35">
        <f t="shared" si="29"/>
        <v>34322392.17098815</v>
      </c>
      <c r="BH59" s="35">
        <f t="shared" si="29"/>
        <v>4143548.7960133362</v>
      </c>
      <c r="BI59" s="35">
        <f t="shared" si="29"/>
        <v>-550000</v>
      </c>
      <c r="BJ59" s="35">
        <f t="shared" si="29"/>
        <v>0</v>
      </c>
      <c r="BK59" s="642">
        <f t="shared" si="29"/>
        <v>148314669.20635712</v>
      </c>
      <c r="BL59" s="642">
        <f t="shared" si="29"/>
        <v>5510161280.5417719</v>
      </c>
    </row>
    <row r="60" spans="1:64" ht="14.4" thickTop="1" thickBot="1" x14ac:dyDescent="0.3">
      <c r="A60" s="266">
        <f t="shared" si="16"/>
        <v>48</v>
      </c>
      <c r="G60" s="7" t="s">
        <v>341</v>
      </c>
      <c r="AG60" s="177"/>
      <c r="AH60" s="177"/>
      <c r="BK60" s="177"/>
      <c r="BL60" s="177"/>
    </row>
    <row r="61" spans="1:64" ht="13.8" thickBot="1" x14ac:dyDescent="0.3">
      <c r="A61" s="266">
        <f t="shared" si="16"/>
        <v>49</v>
      </c>
      <c r="B61" s="1" t="s">
        <v>195</v>
      </c>
      <c r="C61" s="540">
        <f>+'COC, Def, ConvF'!$C$13</f>
        <v>7.4399999999999994E-2</v>
      </c>
      <c r="D61" s="540">
        <f>+'COC, Def, ConvF'!$C$13</f>
        <v>7.4399999999999994E-2</v>
      </c>
      <c r="E61" s="540">
        <f>+'COC, Def, ConvF'!$C$13</f>
        <v>7.4399999999999994E-2</v>
      </c>
      <c r="F61" s="540">
        <f>+'COC, Def, ConvF'!$C$13</f>
        <v>7.4399999999999994E-2</v>
      </c>
      <c r="G61" s="541">
        <f>+'COC-Restating'!E14</f>
        <v>7.5999999999999998E-2</v>
      </c>
      <c r="H61" s="540">
        <f>+'COC, Def, ConvF'!$C$13</f>
        <v>7.4399999999999994E-2</v>
      </c>
      <c r="I61" s="540">
        <f>+'COC, Def, ConvF'!$C$13</f>
        <v>7.4399999999999994E-2</v>
      </c>
      <c r="J61" s="540">
        <f>+'COC, Def, ConvF'!$C$13</f>
        <v>7.4399999999999994E-2</v>
      </c>
      <c r="K61" s="540">
        <f>+'COC, Def, ConvF'!$C$13</f>
        <v>7.4399999999999994E-2</v>
      </c>
      <c r="L61" s="540">
        <f>+'COC, Def, ConvF'!$C$13</f>
        <v>7.4399999999999994E-2</v>
      </c>
      <c r="M61" s="540">
        <f>+'COC, Def, ConvF'!$C$13</f>
        <v>7.4399999999999994E-2</v>
      </c>
      <c r="N61" s="540">
        <f>+'COC, Def, ConvF'!$C$13</f>
        <v>7.4399999999999994E-2</v>
      </c>
      <c r="O61" s="540">
        <f>+'COC, Def, ConvF'!$C$13</f>
        <v>7.4399999999999994E-2</v>
      </c>
      <c r="P61" s="540">
        <f>+'COC, Def, ConvF'!$C$13</f>
        <v>7.4399999999999994E-2</v>
      </c>
      <c r="Q61" s="540">
        <f>+'COC, Def, ConvF'!$C$13</f>
        <v>7.4399999999999994E-2</v>
      </c>
      <c r="R61" s="540">
        <f>+'COC, Def, ConvF'!$C$13</f>
        <v>7.4399999999999994E-2</v>
      </c>
      <c r="S61" s="540">
        <f>+'COC, Def, ConvF'!$C$13</f>
        <v>7.4399999999999994E-2</v>
      </c>
      <c r="T61" s="540">
        <f>+'COC, Def, ConvF'!$C$13</f>
        <v>7.4399999999999994E-2</v>
      </c>
      <c r="U61" s="540">
        <f>+'COC, Def, ConvF'!$C$13</f>
        <v>7.4399999999999994E-2</v>
      </c>
      <c r="V61" s="540">
        <f>+'COC, Def, ConvF'!$C$13</f>
        <v>7.4399999999999994E-2</v>
      </c>
      <c r="W61" s="540">
        <f>+'COC, Def, ConvF'!$C$13</f>
        <v>7.4399999999999994E-2</v>
      </c>
      <c r="X61" s="540">
        <f>+'COC, Def, ConvF'!$C$13</f>
        <v>7.4399999999999994E-2</v>
      </c>
      <c r="Y61" s="540">
        <f>+'COC, Def, ConvF'!$C$13</f>
        <v>7.4399999999999994E-2</v>
      </c>
      <c r="Z61" s="540">
        <f>+'COC, Def, ConvF'!$C$13</f>
        <v>7.4399999999999994E-2</v>
      </c>
      <c r="AA61" s="540">
        <f>+'COC, Def, ConvF'!$C$13</f>
        <v>7.4399999999999994E-2</v>
      </c>
      <c r="AB61" s="540">
        <f>+'COC, Def, ConvF'!$C$13</f>
        <v>7.4399999999999994E-2</v>
      </c>
      <c r="AC61" s="540">
        <f>+'COC, Def, ConvF'!$C$13</f>
        <v>7.4399999999999994E-2</v>
      </c>
      <c r="AD61" s="540">
        <f>+'COC, Def, ConvF'!$C$13</f>
        <v>7.4399999999999994E-2</v>
      </c>
      <c r="AE61" s="540">
        <f>+'COC, Def, ConvF'!$C$13</f>
        <v>7.4399999999999994E-2</v>
      </c>
      <c r="AF61" s="540">
        <f>+'COC, Def, ConvF'!$C$13</f>
        <v>7.4399999999999994E-2</v>
      </c>
      <c r="AG61" s="542">
        <f>+'COC, Def, ConvF'!$C$13</f>
        <v>7.4399999999999994E-2</v>
      </c>
      <c r="AH61" s="542">
        <f>+'COC, Def, ConvF'!$C$13</f>
        <v>7.4399999999999994E-2</v>
      </c>
      <c r="AI61" s="540">
        <f>+'COC, Def, ConvF'!$C$13</f>
        <v>7.4399999999999994E-2</v>
      </c>
      <c r="AJ61" s="540">
        <f>+'COC, Def, ConvF'!$C$13</f>
        <v>7.4399999999999994E-2</v>
      </c>
      <c r="AK61" s="540">
        <f>+'COC, Def, ConvF'!$C$13</f>
        <v>7.4399999999999994E-2</v>
      </c>
      <c r="AL61" s="540">
        <f>+'COC, Def, ConvF'!$C$13</f>
        <v>7.4399999999999994E-2</v>
      </c>
      <c r="AM61" s="540">
        <f>+'COC, Def, ConvF'!$C$13</f>
        <v>7.4399999999999994E-2</v>
      </c>
      <c r="AN61" s="540">
        <f>+'COC, Def, ConvF'!$C$13</f>
        <v>7.4399999999999994E-2</v>
      </c>
      <c r="AO61" s="540">
        <f>+'COC, Def, ConvF'!$C$13</f>
        <v>7.4399999999999994E-2</v>
      </c>
      <c r="AP61" s="540">
        <f>+'COC, Def, ConvF'!$C$13</f>
        <v>7.4399999999999994E-2</v>
      </c>
      <c r="AQ61" s="540">
        <f>+'COC, Def, ConvF'!$C$13</f>
        <v>7.4399999999999994E-2</v>
      </c>
      <c r="AR61" s="540">
        <f>+'COC, Def, ConvF'!$C$13</f>
        <v>7.4399999999999994E-2</v>
      </c>
      <c r="AS61" s="540">
        <f>+'COC, Def, ConvF'!$C$13</f>
        <v>7.4399999999999994E-2</v>
      </c>
      <c r="AT61" s="540">
        <f>+'COC, Def, ConvF'!$C$13</f>
        <v>7.4399999999999994E-2</v>
      </c>
      <c r="AU61" s="540">
        <f>+'COC, Def, ConvF'!$C$13</f>
        <v>7.4399999999999994E-2</v>
      </c>
      <c r="AV61" s="540">
        <f>+'COC, Def, ConvF'!$C$13</f>
        <v>7.4399999999999994E-2</v>
      </c>
      <c r="AW61" s="540">
        <f>+'COC, Def, ConvF'!$C$13</f>
        <v>7.4399999999999994E-2</v>
      </c>
      <c r="AX61" s="540">
        <f>+'COC, Def, ConvF'!$C$13</f>
        <v>7.4399999999999994E-2</v>
      </c>
      <c r="AY61" s="540">
        <f>+'COC, Def, ConvF'!$C$13</f>
        <v>7.4399999999999994E-2</v>
      </c>
      <c r="AZ61" s="540">
        <f>+'COC, Def, ConvF'!$C$13</f>
        <v>7.4399999999999994E-2</v>
      </c>
      <c r="BA61" s="540">
        <f>+'COC, Def, ConvF'!$C$13</f>
        <v>7.4399999999999994E-2</v>
      </c>
      <c r="BB61" s="540">
        <f>+'COC, Def, ConvF'!$C$13</f>
        <v>7.4399999999999994E-2</v>
      </c>
      <c r="BC61" s="540">
        <f>+'COC, Def, ConvF'!$C$13</f>
        <v>7.4399999999999994E-2</v>
      </c>
      <c r="BD61" s="540">
        <f>+'COC, Def, ConvF'!$C$13</f>
        <v>7.4399999999999994E-2</v>
      </c>
      <c r="BE61" s="540">
        <f>+'COC, Def, ConvF'!$C$13</f>
        <v>7.4399999999999994E-2</v>
      </c>
      <c r="BF61" s="540">
        <f>+'COC, Def, ConvF'!$C$13</f>
        <v>7.4399999999999994E-2</v>
      </c>
      <c r="BG61" s="540">
        <f>+'COC, Def, ConvF'!$C$13</f>
        <v>7.4399999999999994E-2</v>
      </c>
      <c r="BH61" s="540">
        <f>+'COC, Def, ConvF'!$C$13</f>
        <v>7.4399999999999994E-2</v>
      </c>
      <c r="BI61" s="540">
        <f>+'COC, Def, ConvF'!$C$13</f>
        <v>7.4399999999999994E-2</v>
      </c>
      <c r="BJ61" s="540">
        <f>+'COC, Def, ConvF'!$C$13</f>
        <v>7.4399999999999994E-2</v>
      </c>
      <c r="BK61" s="542">
        <f>+'COC, Def, ConvF'!$C$13</f>
        <v>7.4399999999999994E-2</v>
      </c>
      <c r="BL61" s="542">
        <f>+'COC, Def, ConvF'!$C$13</f>
        <v>7.4399999999999994E-2</v>
      </c>
    </row>
    <row r="62" spans="1:64" x14ac:dyDescent="0.25">
      <c r="A62" s="266">
        <f t="shared" si="16"/>
        <v>50</v>
      </c>
      <c r="B62" s="1" t="s">
        <v>243</v>
      </c>
      <c r="C62" s="543">
        <f>+'COC, Def, ConvF'!$M$20</f>
        <v>0.75138099999999997</v>
      </c>
      <c r="D62" s="543">
        <f>+'COC, Def, ConvF'!$M$20</f>
        <v>0.75138099999999997</v>
      </c>
      <c r="E62" s="543">
        <f>+'COC, Def, ConvF'!$M$20</f>
        <v>0.75138099999999997</v>
      </c>
      <c r="F62" s="543">
        <f>+'COC, Def, ConvF'!$M$20</f>
        <v>0.75138099999999997</v>
      </c>
      <c r="G62" s="543">
        <f>+'COC, Def, ConvF'!$M$20</f>
        <v>0.75138099999999997</v>
      </c>
      <c r="H62" s="543">
        <f>+'COC, Def, ConvF'!$M$20</f>
        <v>0.75138099999999997</v>
      </c>
      <c r="I62" s="543">
        <f>+'COC, Def, ConvF'!$M$20</f>
        <v>0.75138099999999997</v>
      </c>
      <c r="J62" s="543">
        <f>+'COC, Def, ConvF'!$M$20</f>
        <v>0.75138099999999997</v>
      </c>
      <c r="K62" s="543">
        <f>+'COC, Def, ConvF'!$M$20</f>
        <v>0.75138099999999997</v>
      </c>
      <c r="L62" s="543">
        <f>+'COC, Def, ConvF'!$M$20</f>
        <v>0.75138099999999997</v>
      </c>
      <c r="M62" s="543">
        <f>+'COC, Def, ConvF'!$M$20</f>
        <v>0.75138099999999997</v>
      </c>
      <c r="N62" s="543">
        <f>+'COC, Def, ConvF'!$M$20</f>
        <v>0.75138099999999997</v>
      </c>
      <c r="O62" s="543">
        <f>+'COC, Def, ConvF'!$M$20</f>
        <v>0.75138099999999997</v>
      </c>
      <c r="P62" s="543">
        <f>+'COC, Def, ConvF'!$M$20</f>
        <v>0.75138099999999997</v>
      </c>
      <c r="Q62" s="543">
        <f>+'COC, Def, ConvF'!$M$20</f>
        <v>0.75138099999999997</v>
      </c>
      <c r="R62" s="543">
        <f>+'COC, Def, ConvF'!$M$20</f>
        <v>0.75138099999999997</v>
      </c>
      <c r="S62" s="543">
        <f>+'COC, Def, ConvF'!$M$20</f>
        <v>0.75138099999999997</v>
      </c>
      <c r="T62" s="543">
        <f>+'COC, Def, ConvF'!$M$20</f>
        <v>0.75138099999999997</v>
      </c>
      <c r="U62" s="543">
        <f>+'COC, Def, ConvF'!$M$20</f>
        <v>0.75138099999999997</v>
      </c>
      <c r="V62" s="543">
        <f>+'COC, Def, ConvF'!$M$20</f>
        <v>0.75138099999999997</v>
      </c>
      <c r="W62" s="543">
        <f>+'COC, Def, ConvF'!$M$20</f>
        <v>0.75138099999999997</v>
      </c>
      <c r="X62" s="543">
        <f>+'COC, Def, ConvF'!$M$20</f>
        <v>0.75138099999999997</v>
      </c>
      <c r="Y62" s="543">
        <f>+'COC, Def, ConvF'!$M$20</f>
        <v>0.75138099999999997</v>
      </c>
      <c r="Z62" s="543">
        <f>+'COC, Def, ConvF'!$M$20</f>
        <v>0.75138099999999997</v>
      </c>
      <c r="AA62" s="543">
        <f>+'COC, Def, ConvF'!$M$20</f>
        <v>0.75138099999999997</v>
      </c>
      <c r="AB62" s="543">
        <f>+'COC, Def, ConvF'!$M$20</f>
        <v>0.75138099999999997</v>
      </c>
      <c r="AC62" s="543">
        <f>+'COC, Def, ConvF'!$M$20</f>
        <v>0.75138099999999997</v>
      </c>
      <c r="AD62" s="543">
        <f>+'COC, Def, ConvF'!$M$20</f>
        <v>0.75138099999999997</v>
      </c>
      <c r="AE62" s="543">
        <f>+'COC, Def, ConvF'!$M$20</f>
        <v>0.75138099999999997</v>
      </c>
      <c r="AF62" s="543">
        <f>+'COC, Def, ConvF'!$M$20</f>
        <v>0.75138099999999997</v>
      </c>
      <c r="AG62" s="544">
        <f>+'COC, Def, ConvF'!$M$20</f>
        <v>0.75138099999999997</v>
      </c>
      <c r="AH62" s="544">
        <f>+'COC, Def, ConvF'!$M$20</f>
        <v>0.75138099999999997</v>
      </c>
      <c r="AI62" s="543">
        <f>+'COC, Def, ConvF'!$M$20</f>
        <v>0.75138099999999997</v>
      </c>
      <c r="AJ62" s="543">
        <f>+'COC, Def, ConvF'!$M$20</f>
        <v>0.75138099999999997</v>
      </c>
      <c r="AK62" s="543">
        <f>+'COC, Def, ConvF'!$M$20</f>
        <v>0.75138099999999997</v>
      </c>
      <c r="AL62" s="543">
        <f>+'COC, Def, ConvF'!$M$20</f>
        <v>0.75138099999999997</v>
      </c>
      <c r="AM62" s="543">
        <f>+'COC, Def, ConvF'!$M$20</f>
        <v>0.75138099999999997</v>
      </c>
      <c r="AN62" s="543">
        <f>+'COC, Def, ConvF'!$M$20</f>
        <v>0.75138099999999997</v>
      </c>
      <c r="AO62" s="543">
        <f>+'COC, Def, ConvF'!$M$20</f>
        <v>0.75138099999999997</v>
      </c>
      <c r="AP62" s="543">
        <f>+'COC, Def, ConvF'!$M$20</f>
        <v>0.75138099999999997</v>
      </c>
      <c r="AQ62" s="543">
        <f>+'COC, Def, ConvF'!$M$20</f>
        <v>0.75138099999999997</v>
      </c>
      <c r="AR62" s="543">
        <f>+'COC, Def, ConvF'!$M$20</f>
        <v>0.75138099999999997</v>
      </c>
      <c r="AS62" s="543">
        <f>+'COC, Def, ConvF'!$M$20</f>
        <v>0.75138099999999997</v>
      </c>
      <c r="AT62" s="543">
        <f>+'COC, Def, ConvF'!$M$20</f>
        <v>0.75138099999999997</v>
      </c>
      <c r="AU62" s="543">
        <f>+'COC, Def, ConvF'!$M$20</f>
        <v>0.75138099999999997</v>
      </c>
      <c r="AV62" s="543">
        <f>+'COC, Def, ConvF'!$M$20</f>
        <v>0.75138099999999997</v>
      </c>
      <c r="AW62" s="543">
        <f>+'COC, Def, ConvF'!$M$20</f>
        <v>0.75138099999999997</v>
      </c>
      <c r="AX62" s="543">
        <f>+'COC, Def, ConvF'!$M$20</f>
        <v>0.75138099999999997</v>
      </c>
      <c r="AY62" s="543">
        <f>+'COC, Def, ConvF'!$M$20</f>
        <v>0.75138099999999997</v>
      </c>
      <c r="AZ62" s="543">
        <f>+'COC, Def, ConvF'!$M$20</f>
        <v>0.75138099999999997</v>
      </c>
      <c r="BA62" s="543">
        <f>+'COC, Def, ConvF'!$M$20</f>
        <v>0.75138099999999997</v>
      </c>
      <c r="BB62" s="543">
        <f>+'COC, Def, ConvF'!$M$20</f>
        <v>0.75138099999999997</v>
      </c>
      <c r="BC62" s="543">
        <f>+'COC, Def, ConvF'!$M$20</f>
        <v>0.75138099999999997</v>
      </c>
      <c r="BD62" s="543">
        <f>+'COC, Def, ConvF'!$M$20</f>
        <v>0.75138099999999997</v>
      </c>
      <c r="BE62" s="543">
        <f>+'COC, Def, ConvF'!$M$20</f>
        <v>0.75138099999999997</v>
      </c>
      <c r="BF62" s="543">
        <f>+'COC, Def, ConvF'!$M$20</f>
        <v>0.75138099999999997</v>
      </c>
      <c r="BG62" s="543">
        <f>+'COC, Def, ConvF'!$M$20</f>
        <v>0.75138099999999997</v>
      </c>
      <c r="BH62" s="543">
        <f>+'COC, Def, ConvF'!$M$20</f>
        <v>0.75138099999999997</v>
      </c>
      <c r="BI62" s="543">
        <f>+'COC, Def, ConvF'!$M$20</f>
        <v>0.75138099999999997</v>
      </c>
      <c r="BJ62" s="543">
        <f>+'COC, Def, ConvF'!$M$20</f>
        <v>0.75138099999999997</v>
      </c>
      <c r="BK62" s="544">
        <f>+'COC, Def, ConvF'!$M$20</f>
        <v>0.75138099999999997</v>
      </c>
      <c r="BL62" s="544">
        <f>+'COC, Def, ConvF'!$M$20</f>
        <v>0.75138099999999997</v>
      </c>
    </row>
    <row r="63" spans="1:64" x14ac:dyDescent="0.25">
      <c r="A63" s="266">
        <f t="shared" si="16"/>
        <v>51</v>
      </c>
      <c r="B63" s="1" t="s">
        <v>244</v>
      </c>
      <c r="C63" s="221">
        <f t="shared" ref="C63:AF63" si="30">+C46-(C59*C61)</f>
        <v>3607570.2309092879</v>
      </c>
      <c r="D63" s="221">
        <f t="shared" si="30"/>
        <v>8327800.1577338427</v>
      </c>
      <c r="E63" s="221">
        <f t="shared" si="30"/>
        <v>4922912.8320278507</v>
      </c>
      <c r="F63" s="221">
        <f t="shared" si="30"/>
        <v>-14935653.446827501</v>
      </c>
      <c r="G63" s="221">
        <f t="shared" si="30"/>
        <v>33104040.978384849</v>
      </c>
      <c r="H63" s="221">
        <f t="shared" si="30"/>
        <v>-1955986.2286396027</v>
      </c>
      <c r="I63" s="221">
        <f t="shared" si="30"/>
        <v>66597.374865170947</v>
      </c>
      <c r="J63" s="221">
        <f t="shared" si="30"/>
        <v>303153.75903630909</v>
      </c>
      <c r="K63" s="221">
        <f t="shared" si="30"/>
        <v>184145.16401528011</v>
      </c>
      <c r="L63" s="221">
        <f t="shared" si="30"/>
        <v>71834.764841626398</v>
      </c>
      <c r="M63" s="221">
        <f t="shared" si="30"/>
        <v>5301.3344264041589</v>
      </c>
      <c r="N63" s="221">
        <f t="shared" si="30"/>
        <v>-803909.33835699933</v>
      </c>
      <c r="O63" s="221">
        <f t="shared" si="30"/>
        <v>-496557.58700637007</v>
      </c>
      <c r="P63" s="221">
        <f t="shared" si="30"/>
        <v>-1726149.211916219</v>
      </c>
      <c r="Q63" s="221">
        <f t="shared" si="30"/>
        <v>319951.38960871822</v>
      </c>
      <c r="R63" s="221">
        <f t="shared" si="30"/>
        <v>-61810.425156236211</v>
      </c>
      <c r="S63" s="221">
        <f t="shared" si="30"/>
        <v>-13156.595940416744</v>
      </c>
      <c r="T63" s="221">
        <f t="shared" si="30"/>
        <v>-23850.252119969373</v>
      </c>
      <c r="U63" s="221">
        <f t="shared" si="30"/>
        <v>-13601677.212496949</v>
      </c>
      <c r="V63" s="221">
        <f t="shared" si="30"/>
        <v>-15647224.940460576</v>
      </c>
      <c r="W63" s="221">
        <f t="shared" si="30"/>
        <v>340892.94246068329</v>
      </c>
      <c r="X63" s="221">
        <f t="shared" ref="X63" si="31">+X46-(X59*X61)</f>
        <v>15728.567331155047</v>
      </c>
      <c r="Y63" s="221">
        <f t="shared" si="30"/>
        <v>-7589560.1894254955</v>
      </c>
      <c r="Z63" s="221">
        <f t="shared" si="30"/>
        <v>-68620.043849999958</v>
      </c>
      <c r="AA63" s="221">
        <f t="shared" si="30"/>
        <v>287714.19439199998</v>
      </c>
      <c r="AB63" s="221">
        <f t="shared" si="30"/>
        <v>-32912585.679400001</v>
      </c>
      <c r="AC63" s="221">
        <f t="shared" si="30"/>
        <v>-11000.8474333339</v>
      </c>
      <c r="AD63" s="221">
        <f t="shared" si="30"/>
        <v>2488195.9361507213</v>
      </c>
      <c r="AE63" s="221">
        <f t="shared" si="30"/>
        <v>0</v>
      </c>
      <c r="AF63" s="221">
        <f t="shared" si="30"/>
        <v>0</v>
      </c>
      <c r="AG63" s="536">
        <f>SUM(D63:AF63)</f>
        <v>-39409472.603755057</v>
      </c>
      <c r="AH63" s="536">
        <f>+AG63+C63</f>
        <v>-35801902.372845769</v>
      </c>
      <c r="AI63" s="221">
        <f t="shared" ref="AI63:BJ63" si="32">+AI46-(AI59*AI61)</f>
        <v>-25679089.764345825</v>
      </c>
      <c r="AJ63" s="221">
        <f t="shared" si="32"/>
        <v>8570014.0415130965</v>
      </c>
      <c r="AK63" s="221">
        <f t="shared" si="32"/>
        <v>-357152.48812509922</v>
      </c>
      <c r="AL63" s="221">
        <f t="shared" si="32"/>
        <v>-71834.764841627039</v>
      </c>
      <c r="AM63" s="221">
        <f t="shared" si="32"/>
        <v>-5301.3344264041589</v>
      </c>
      <c r="AN63" s="221">
        <f t="shared" si="32"/>
        <v>-442588.00130389305</v>
      </c>
      <c r="AO63" s="221">
        <f t="shared" si="32"/>
        <v>-3003557.1583568119</v>
      </c>
      <c r="AP63" s="221">
        <f t="shared" si="32"/>
        <v>-208177.32402600534</v>
      </c>
      <c r="AQ63" s="221">
        <f t="shared" si="32"/>
        <v>-691246.88851637836</v>
      </c>
      <c r="AR63" s="221">
        <f t="shared" si="32"/>
        <v>2791831.5547333327</v>
      </c>
      <c r="AS63" s="221">
        <f t="shared" si="32"/>
        <v>-120117.65165375613</v>
      </c>
      <c r="AT63" s="221">
        <f t="shared" si="32"/>
        <v>-11857504.222004164</v>
      </c>
      <c r="AU63" s="221">
        <f t="shared" si="32"/>
        <v>394548.96938773646</v>
      </c>
      <c r="AV63" s="221">
        <f t="shared" si="32"/>
        <v>-15361942.105430475</v>
      </c>
      <c r="AW63" s="221">
        <f t="shared" si="32"/>
        <v>477330.77329275</v>
      </c>
      <c r="AX63" s="221">
        <f t="shared" si="32"/>
        <v>8671335.1926719975</v>
      </c>
      <c r="AY63" s="221">
        <f t="shared" si="32"/>
        <v>-2499599.1907895333</v>
      </c>
      <c r="AZ63" s="221">
        <f t="shared" si="32"/>
        <v>-1330725.9543599267</v>
      </c>
      <c r="BA63" s="221">
        <f t="shared" si="32"/>
        <v>-998796.79786804435</v>
      </c>
      <c r="BB63" s="221">
        <f t="shared" si="32"/>
        <v>-17795211.595228255</v>
      </c>
      <c r="BC63" s="221">
        <f t="shared" si="32"/>
        <v>526903.32847884076</v>
      </c>
      <c r="BD63" s="221">
        <f t="shared" si="32"/>
        <v>-10681804.722000003</v>
      </c>
      <c r="BE63" s="221">
        <f t="shared" si="32"/>
        <v>10840472.23768127</v>
      </c>
      <c r="BF63" s="221">
        <f t="shared" si="32"/>
        <v>4725851.1956826122</v>
      </c>
      <c r="BG63" s="221">
        <f t="shared" si="32"/>
        <v>-3363518.1605126522</v>
      </c>
      <c r="BH63" s="221">
        <f t="shared" si="32"/>
        <v>-2792873.7869433919</v>
      </c>
      <c r="BI63" s="221">
        <f t="shared" si="32"/>
        <v>85950</v>
      </c>
      <c r="BJ63" s="221">
        <f t="shared" si="32"/>
        <v>0</v>
      </c>
      <c r="BK63" s="536">
        <f>SUM(AI63:BJ63)</f>
        <v>-60176804.617290601</v>
      </c>
      <c r="BL63" s="536">
        <f>+BK63+AH63</f>
        <v>-95978706.99013637</v>
      </c>
    </row>
    <row r="64" spans="1:64" x14ac:dyDescent="0.25">
      <c r="A64" s="266">
        <f t="shared" si="16"/>
        <v>52</v>
      </c>
      <c r="B64" s="1" t="s">
        <v>245</v>
      </c>
      <c r="C64" s="221">
        <f t="shared" ref="C64:AI64" si="33">-C63/C62</f>
        <v>-4801252.9341429826</v>
      </c>
      <c r="D64" s="221">
        <f t="shared" si="33"/>
        <v>-11083325.44705528</v>
      </c>
      <c r="E64" s="221">
        <f t="shared" si="33"/>
        <v>-6551819.6920441836</v>
      </c>
      <c r="F64" s="221">
        <f t="shared" si="33"/>
        <v>19877603.302222844</v>
      </c>
      <c r="G64" s="221">
        <f t="shared" si="33"/>
        <v>-44057596.58333768</v>
      </c>
      <c r="H64" s="221">
        <f t="shared" si="33"/>
        <v>2603188.30079494</v>
      </c>
      <c r="I64" s="221">
        <f t="shared" si="33"/>
        <v>-88633.296377165447</v>
      </c>
      <c r="J64" s="221">
        <f t="shared" si="33"/>
        <v>-403462.10382789705</v>
      </c>
      <c r="K64" s="221">
        <f t="shared" si="33"/>
        <v>-245075.6194464328</v>
      </c>
      <c r="L64" s="221">
        <f t="shared" si="33"/>
        <v>-95603.64827115192</v>
      </c>
      <c r="M64" s="221">
        <f t="shared" si="33"/>
        <v>-7055.4544583961524</v>
      </c>
      <c r="N64" s="221">
        <f t="shared" si="33"/>
        <v>1069909.0585961042</v>
      </c>
      <c r="O64" s="221">
        <f t="shared" si="33"/>
        <v>660859.91927713121</v>
      </c>
      <c r="P64" s="221">
        <f t="shared" si="33"/>
        <v>2297302.1834678003</v>
      </c>
      <c r="Q64" s="221">
        <f t="shared" si="33"/>
        <v>-425817.78033876052</v>
      </c>
      <c r="R64" s="221">
        <f t="shared" si="33"/>
        <v>82262.427658187007</v>
      </c>
      <c r="S64" s="221">
        <f t="shared" si="33"/>
        <v>17509.886383095585</v>
      </c>
      <c r="T64" s="221">
        <f t="shared" si="33"/>
        <v>31741.888762118517</v>
      </c>
      <c r="U64" s="221">
        <f t="shared" si="33"/>
        <v>18102237.363597095</v>
      </c>
      <c r="V64" s="221">
        <f t="shared" si="33"/>
        <v>20824621.517526496</v>
      </c>
      <c r="W64" s="221">
        <f t="shared" si="33"/>
        <v>-453688.53146497358</v>
      </c>
      <c r="X64" s="221">
        <f t="shared" ref="X64" si="34">-X63/X62</f>
        <v>-20932.878700892154</v>
      </c>
      <c r="Y64" s="221">
        <f t="shared" si="33"/>
        <v>10100814.619248418</v>
      </c>
      <c r="Z64" s="221">
        <f t="shared" si="33"/>
        <v>91325.231606867834</v>
      </c>
      <c r="AA64" s="221">
        <f t="shared" si="33"/>
        <v>-382913.85381317866</v>
      </c>
      <c r="AB64" s="221">
        <f t="shared" si="33"/>
        <v>43802792.03147272</v>
      </c>
      <c r="AC64" s="221">
        <f t="shared" si="33"/>
        <v>14640.837914897902</v>
      </c>
      <c r="AD64" s="221">
        <f t="shared" si="33"/>
        <v>-3311497.011703412</v>
      </c>
      <c r="AE64" s="221">
        <f t="shared" si="33"/>
        <v>0</v>
      </c>
      <c r="AF64" s="221">
        <f t="shared" si="33"/>
        <v>0</v>
      </c>
      <c r="AG64" s="182">
        <f t="shared" si="33"/>
        <v>52449386.667689309</v>
      </c>
      <c r="AH64" s="182">
        <f t="shared" si="33"/>
        <v>47648133.733546324</v>
      </c>
      <c r="AI64" s="221">
        <f t="shared" si="33"/>
        <v>34175857.207389891</v>
      </c>
      <c r="AJ64" s="221">
        <f t="shared" ref="AJ64:BJ64" si="35">-AJ63/AJ62</f>
        <v>-11405683.723055409</v>
      </c>
      <c r="AK64" s="221">
        <f t="shared" si="35"/>
        <v>475328.08006204473</v>
      </c>
      <c r="AL64" s="221">
        <f t="shared" si="35"/>
        <v>95603.648271152779</v>
      </c>
      <c r="AM64" s="221">
        <f t="shared" si="35"/>
        <v>7055.4544583961524</v>
      </c>
      <c r="AN64" s="221">
        <f t="shared" si="35"/>
        <v>589032.7294726551</v>
      </c>
      <c r="AO64" s="221">
        <f t="shared" si="35"/>
        <v>3997382.3644154058</v>
      </c>
      <c r="AP64" s="221">
        <f t="shared" si="35"/>
        <v>277059.60627964424</v>
      </c>
      <c r="AQ64" s="221">
        <f t="shared" si="35"/>
        <v>919968.54926645523</v>
      </c>
      <c r="AR64" s="221">
        <f t="shared" si="35"/>
        <v>-3715600.4140819809</v>
      </c>
      <c r="AS64" s="221">
        <f t="shared" si="35"/>
        <v>159862.50870564484</v>
      </c>
      <c r="AT64" s="221">
        <f t="shared" si="35"/>
        <v>15780947.644409647</v>
      </c>
      <c r="AU64" s="221">
        <f t="shared" si="35"/>
        <v>-525098.41130895843</v>
      </c>
      <c r="AV64" s="221">
        <f t="shared" si="35"/>
        <v>20444943.517909657</v>
      </c>
      <c r="AW64" s="221">
        <f t="shared" si="35"/>
        <v>-635271.28486446955</v>
      </c>
      <c r="AX64" s="221">
        <f t="shared" si="35"/>
        <v>-11540530.293781715</v>
      </c>
      <c r="AY64" s="221">
        <f t="shared" si="35"/>
        <v>3326673.4064203557</v>
      </c>
      <c r="AZ64" s="221">
        <f t="shared" si="35"/>
        <v>1771040.1971302533</v>
      </c>
      <c r="BA64" s="221">
        <f t="shared" si="35"/>
        <v>1329281.4136477292</v>
      </c>
      <c r="BB64" s="221">
        <f t="shared" si="35"/>
        <v>23683339.870489478</v>
      </c>
      <c r="BC64" s="221">
        <f t="shared" si="35"/>
        <v>-701246.54267121584</v>
      </c>
      <c r="BD64" s="221">
        <f t="shared" si="35"/>
        <v>14216229.4787864</v>
      </c>
      <c r="BE64" s="221">
        <f t="shared" si="35"/>
        <v>-14427397.335947104</v>
      </c>
      <c r="BF64" s="221">
        <f t="shared" si="35"/>
        <v>-6289553.7625819826</v>
      </c>
      <c r="BG64" s="221">
        <f t="shared" si="35"/>
        <v>4476448.2473108219</v>
      </c>
      <c r="BH64" s="221">
        <f t="shared" si="35"/>
        <v>3716987.5029357835</v>
      </c>
      <c r="BI64" s="221">
        <f t="shared" si="35"/>
        <v>-114389.37103812846</v>
      </c>
      <c r="BJ64" s="221">
        <f t="shared" si="35"/>
        <v>0</v>
      </c>
      <c r="BK64" s="182">
        <f>SUM(AI64:BJ64)</f>
        <v>80088270.288030431</v>
      </c>
      <c r="BL64" s="182">
        <f>-BL63/BL62</f>
        <v>127736404.02157676</v>
      </c>
    </row>
    <row r="65" spans="2:64" x14ac:dyDescent="0.25">
      <c r="B65" s="1"/>
    </row>
    <row r="69" spans="2:64" s="156" customFormat="1" ht="14.4" x14ac:dyDescent="0.3">
      <c r="B69" s="319" t="s">
        <v>919</v>
      </c>
      <c r="C69" s="356"/>
      <c r="D69" s="356"/>
      <c r="E69" s="356"/>
      <c r="F69" s="356"/>
      <c r="G69" s="356"/>
      <c r="H69" s="356"/>
      <c r="I69" s="356"/>
      <c r="J69" s="356"/>
      <c r="K69" s="356"/>
      <c r="L69" s="356"/>
      <c r="M69" s="356"/>
      <c r="N69" s="356"/>
      <c r="O69" s="356"/>
      <c r="P69" s="356"/>
      <c r="Q69" s="356"/>
      <c r="R69" s="356"/>
      <c r="S69" s="356"/>
      <c r="T69" s="356"/>
      <c r="U69" s="356"/>
      <c r="V69" s="356"/>
      <c r="W69" s="356"/>
      <c r="X69" s="356"/>
      <c r="Y69" s="356"/>
      <c r="Z69" s="356"/>
      <c r="AA69" s="356"/>
      <c r="AB69" s="356"/>
      <c r="AC69" s="356"/>
      <c r="AD69" s="356"/>
      <c r="AE69" s="356"/>
      <c r="AF69" s="356"/>
      <c r="AG69" s="356"/>
      <c r="AH69" s="356"/>
      <c r="AI69" s="356"/>
      <c r="AJ69" s="356"/>
      <c r="AK69" s="356"/>
      <c r="AL69" s="356"/>
      <c r="AM69" s="356"/>
      <c r="AN69" s="356"/>
      <c r="AO69" s="356"/>
      <c r="AP69" s="356"/>
      <c r="AQ69" s="356"/>
      <c r="AR69" s="356"/>
      <c r="AS69" s="356"/>
      <c r="AT69" s="356"/>
      <c r="AU69" s="356"/>
      <c r="AV69" s="356"/>
      <c r="AW69" s="356"/>
      <c r="AX69" s="356"/>
      <c r="AY69" s="356"/>
      <c r="AZ69" s="356"/>
      <c r="BA69" s="356"/>
      <c r="BB69" s="356"/>
      <c r="BC69" s="356"/>
      <c r="BD69" s="356"/>
      <c r="BE69" s="356"/>
      <c r="BF69" s="356"/>
      <c r="BG69" s="356"/>
      <c r="BH69" s="356"/>
      <c r="BI69" s="356"/>
      <c r="BJ69" s="356"/>
      <c r="BK69" s="356"/>
      <c r="BL69" s="356"/>
    </row>
    <row r="70" spans="2:64" s="156" customFormat="1" ht="14.4" x14ac:dyDescent="0.3">
      <c r="B70" s="546" t="s">
        <v>920</v>
      </c>
      <c r="C70" s="547">
        <v>391140691.10000062</v>
      </c>
      <c r="D70" s="547">
        <v>8327800.1577338427</v>
      </c>
      <c r="E70" s="547">
        <v>4922912.8320278507</v>
      </c>
      <c r="F70" s="547">
        <v>-14935653.446827501</v>
      </c>
      <c r="G70" s="547">
        <v>33104040.978384849</v>
      </c>
      <c r="H70" s="547">
        <v>-1955986.2286396027</v>
      </c>
      <c r="I70" s="547">
        <v>66597.374865170947</v>
      </c>
      <c r="J70" s="547">
        <v>303153.75903630909</v>
      </c>
      <c r="K70" s="547">
        <v>184145.16401528011</v>
      </c>
      <c r="L70" s="547">
        <v>71834.764841626398</v>
      </c>
      <c r="M70" s="547">
        <v>5301.3344264041589</v>
      </c>
      <c r="N70" s="547">
        <v>-803909.33835699933</v>
      </c>
      <c r="O70" s="547">
        <v>-496557.58700637007</v>
      </c>
      <c r="P70" s="547">
        <v>-1726149.211916219</v>
      </c>
      <c r="Q70" s="547">
        <v>319951.38960871822</v>
      </c>
      <c r="R70" s="547">
        <v>-61810.425156236211</v>
      </c>
      <c r="S70" s="547">
        <v>-13156.595940416744</v>
      </c>
      <c r="T70" s="547">
        <v>-23850.252119969373</v>
      </c>
      <c r="U70" s="547">
        <v>0</v>
      </c>
      <c r="V70" s="547">
        <v>-16904953.479322143</v>
      </c>
      <c r="W70" s="547">
        <v>340892.94246068329</v>
      </c>
      <c r="X70" s="547">
        <v>0</v>
      </c>
      <c r="Y70" s="547">
        <v>-7589560.1894254955</v>
      </c>
      <c r="Z70" s="547">
        <v>-68620.043849999958</v>
      </c>
      <c r="AA70" s="547">
        <v>167530.56</v>
      </c>
      <c r="AB70" s="547">
        <v>-32912585.679400001</v>
      </c>
      <c r="AC70" s="547">
        <v>-11000.8474333339</v>
      </c>
      <c r="AD70" s="547">
        <v>1668426.4785019332</v>
      </c>
      <c r="AE70" s="547">
        <v>0</v>
      </c>
      <c r="AF70" s="547">
        <v>0</v>
      </c>
      <c r="AG70" s="547">
        <v>-28021205.58949165</v>
      </c>
      <c r="AH70" s="547">
        <v>363119485.51050973</v>
      </c>
      <c r="AI70" s="547">
        <v>-25679089.764345825</v>
      </c>
      <c r="AJ70" s="547">
        <v>8570014.0415130965</v>
      </c>
      <c r="AK70" s="547">
        <v>-357152.48812509922</v>
      </c>
      <c r="AL70" s="547">
        <v>-71834.764841627039</v>
      </c>
      <c r="AM70" s="547">
        <v>-5301.3344264041589</v>
      </c>
      <c r="AN70" s="547">
        <v>-442588.00130389305</v>
      </c>
      <c r="AO70" s="547">
        <v>-3003557.1583568119</v>
      </c>
      <c r="AP70" s="547">
        <v>-208177.32402600534</v>
      </c>
      <c r="AQ70" s="547">
        <v>-691246.88851637836</v>
      </c>
      <c r="AR70" s="547">
        <v>2791831.5547333327</v>
      </c>
      <c r="AS70" s="547">
        <v>-120117.65165375613</v>
      </c>
      <c r="AT70" s="547">
        <v>-7024242.582690442</v>
      </c>
      <c r="AU70" s="547">
        <v>394548.96938773646</v>
      </c>
      <c r="AV70" s="547">
        <v>-12677568.60713179</v>
      </c>
      <c r="AW70" s="547">
        <v>477330.77329275</v>
      </c>
      <c r="AX70" s="547">
        <v>9006372.2399999984</v>
      </c>
      <c r="AY70" s="547">
        <v>-582529.67963589286</v>
      </c>
      <c r="AZ70" s="547">
        <v>-1330725.9543599267</v>
      </c>
      <c r="BA70" s="547">
        <v>-567398.9934889141</v>
      </c>
      <c r="BB70" s="547">
        <v>-17795211.595228255</v>
      </c>
      <c r="BC70" s="547">
        <v>526903.32847884053</v>
      </c>
      <c r="BD70" s="547">
        <v>-10681804.722000003</v>
      </c>
      <c r="BE70" s="547">
        <v>9100115.4800387621</v>
      </c>
      <c r="BF70" s="547">
        <v>4478733.8338600006</v>
      </c>
      <c r="BG70" s="547">
        <v>-809932.18299113424</v>
      </c>
      <c r="BH70" s="547">
        <v>-2484593.7565199998</v>
      </c>
      <c r="BI70" s="547">
        <v>45030</v>
      </c>
      <c r="BJ70" s="547">
        <v>0</v>
      </c>
      <c r="BK70" s="547">
        <v>-49142193.228337675</v>
      </c>
      <c r="BL70" s="547">
        <v>313977292.28217196</v>
      </c>
    </row>
    <row r="71" spans="2:64" s="156" customFormat="1" ht="14.4" x14ac:dyDescent="0.3">
      <c r="B71" s="548" t="s">
        <v>921</v>
      </c>
      <c r="C71" s="346">
        <v>5208778506.3049917</v>
      </c>
      <c r="D71" s="346">
        <v>0</v>
      </c>
      <c r="E71" s="346">
        <v>0</v>
      </c>
      <c r="F71" s="346">
        <v>0</v>
      </c>
      <c r="G71" s="346">
        <v>0</v>
      </c>
      <c r="H71" s="346">
        <v>0</v>
      </c>
      <c r="I71" s="346">
        <v>0</v>
      </c>
      <c r="J71" s="346">
        <v>0</v>
      </c>
      <c r="K71" s="346">
        <v>0</v>
      </c>
      <c r="L71" s="346">
        <v>0</v>
      </c>
      <c r="M71" s="346">
        <v>0</v>
      </c>
      <c r="N71" s="346">
        <v>0</v>
      </c>
      <c r="O71" s="346">
        <v>0</v>
      </c>
      <c r="P71" s="346">
        <v>0</v>
      </c>
      <c r="Q71" s="346">
        <v>0</v>
      </c>
      <c r="R71" s="346">
        <v>0</v>
      </c>
      <c r="S71" s="346">
        <v>0</v>
      </c>
      <c r="T71" s="346">
        <v>0</v>
      </c>
      <c r="U71" s="346">
        <v>182818242.10345364</v>
      </c>
      <c r="V71" s="346">
        <v>-16904953.479322143</v>
      </c>
      <c r="W71" s="346">
        <v>0</v>
      </c>
      <c r="X71" s="346">
        <v>-211405.47488111624</v>
      </c>
      <c r="Y71" s="346">
        <v>0</v>
      </c>
      <c r="Z71" s="346">
        <v>0</v>
      </c>
      <c r="AA71" s="346">
        <v>-1615371.4300000002</v>
      </c>
      <c r="AB71" s="346">
        <v>0</v>
      </c>
      <c r="AC71" s="346">
        <v>0</v>
      </c>
      <c r="AD71" s="346">
        <v>-11018406.688827798</v>
      </c>
      <c r="AE71" s="346">
        <v>0</v>
      </c>
      <c r="AF71" s="346">
        <v>0</v>
      </c>
      <c r="AG71" s="346">
        <v>153068105.03042257</v>
      </c>
      <c r="AH71" s="346">
        <v>5361846611.3354149</v>
      </c>
      <c r="AI71" s="346">
        <v>0</v>
      </c>
      <c r="AJ71" s="346">
        <v>0</v>
      </c>
      <c r="AK71" s="346">
        <v>0</v>
      </c>
      <c r="AL71" s="346">
        <v>0</v>
      </c>
      <c r="AM71" s="346">
        <v>0</v>
      </c>
      <c r="AN71" s="346">
        <v>0</v>
      </c>
      <c r="AO71" s="346">
        <v>0</v>
      </c>
      <c r="AP71" s="346">
        <v>0</v>
      </c>
      <c r="AQ71" s="346">
        <v>0</v>
      </c>
      <c r="AR71" s="346">
        <v>0</v>
      </c>
      <c r="AS71" s="346">
        <v>0</v>
      </c>
      <c r="AT71" s="346">
        <v>64963194.076797329</v>
      </c>
      <c r="AU71" s="346">
        <v>0</v>
      </c>
      <c r="AV71" s="346">
        <v>36080288.955627486</v>
      </c>
      <c r="AW71" s="346">
        <v>0</v>
      </c>
      <c r="AX71" s="346">
        <v>4503186.1200000085</v>
      </c>
      <c r="AY71" s="346">
        <v>25767063.321957536</v>
      </c>
      <c r="AZ71" s="346">
        <v>0</v>
      </c>
      <c r="BA71" s="346">
        <v>5798357.5857409984</v>
      </c>
      <c r="BB71" s="346">
        <v>0</v>
      </c>
      <c r="BC71" s="346">
        <v>0</v>
      </c>
      <c r="BD71" s="346">
        <v>0</v>
      </c>
      <c r="BE71" s="346">
        <v>-23391891.903797138</v>
      </c>
      <c r="BF71" s="346">
        <v>-3321469.9169705859</v>
      </c>
      <c r="BG71" s="346">
        <v>34322392.17098815</v>
      </c>
      <c r="BH71" s="346">
        <v>4143548.7960133362</v>
      </c>
      <c r="BI71" s="346">
        <v>-550000</v>
      </c>
      <c r="BJ71" s="346">
        <v>0</v>
      </c>
      <c r="BK71" s="346">
        <v>148314669.20635712</v>
      </c>
      <c r="BL71" s="346">
        <v>5510161280.5417719</v>
      </c>
    </row>
    <row r="72" spans="2:64" s="156" customFormat="1" ht="14.4" x14ac:dyDescent="0.3">
      <c r="B72" s="319" t="s">
        <v>922</v>
      </c>
      <c r="C72" s="356"/>
      <c r="D72" s="356"/>
      <c r="E72" s="356"/>
      <c r="F72" s="356"/>
      <c r="G72" s="356"/>
      <c r="H72" s="356"/>
      <c r="I72" s="356"/>
      <c r="J72" s="356"/>
      <c r="K72" s="356"/>
      <c r="L72" s="356"/>
      <c r="M72" s="356"/>
      <c r="N72" s="356"/>
      <c r="O72" s="356"/>
      <c r="P72" s="356"/>
      <c r="Q72" s="356"/>
      <c r="R72" s="356"/>
      <c r="S72" s="356"/>
      <c r="T72" s="356"/>
      <c r="U72" s="356"/>
      <c r="V72" s="356"/>
      <c r="W72" s="356"/>
      <c r="X72" s="356"/>
      <c r="Y72" s="356"/>
      <c r="Z72" s="356"/>
      <c r="AA72" s="356"/>
      <c r="AB72" s="356"/>
      <c r="AC72" s="356"/>
      <c r="AD72" s="356"/>
      <c r="AE72" s="356"/>
      <c r="AF72" s="356"/>
      <c r="AG72" s="356"/>
      <c r="AH72" s="356"/>
      <c r="AI72" s="356"/>
      <c r="AJ72" s="356"/>
      <c r="AK72" s="356"/>
      <c r="AL72" s="356"/>
      <c r="AM72" s="356"/>
      <c r="AN72" s="356"/>
      <c r="AO72" s="356"/>
      <c r="AP72" s="356"/>
      <c r="AQ72" s="356"/>
      <c r="AR72" s="356"/>
      <c r="AS72" s="356"/>
      <c r="AT72" s="356"/>
      <c r="AU72" s="356"/>
      <c r="AV72" s="356"/>
      <c r="AW72" s="356"/>
      <c r="AX72" s="356"/>
      <c r="AY72" s="356"/>
      <c r="AZ72" s="356"/>
      <c r="BA72" s="356"/>
      <c r="BB72" s="356"/>
      <c r="BC72" s="356"/>
      <c r="BD72" s="356"/>
      <c r="BE72" s="356"/>
      <c r="BF72" s="356"/>
      <c r="BG72" s="356"/>
      <c r="BH72" s="356"/>
      <c r="BI72" s="356"/>
      <c r="BJ72" s="356"/>
      <c r="BK72" s="356"/>
      <c r="BL72" s="356"/>
    </row>
    <row r="73" spans="2:64" s="156" customFormat="1" ht="14.4" x14ac:dyDescent="0.3">
      <c r="B73" s="546" t="s">
        <v>920</v>
      </c>
      <c r="C73" s="547">
        <f t="shared" ref="C73:BL73" si="36">C46</f>
        <v>391140691.10000062</v>
      </c>
      <c r="D73" s="547">
        <f t="shared" si="36"/>
        <v>8327800.1577338427</v>
      </c>
      <c r="E73" s="547">
        <f t="shared" si="36"/>
        <v>4922912.8320278507</v>
      </c>
      <c r="F73" s="547">
        <f t="shared" si="36"/>
        <v>-14935653.446827501</v>
      </c>
      <c r="G73" s="547">
        <f t="shared" si="36"/>
        <v>33104040.978384849</v>
      </c>
      <c r="H73" s="547">
        <f t="shared" si="36"/>
        <v>-1955986.2286396027</v>
      </c>
      <c r="I73" s="547">
        <f t="shared" si="36"/>
        <v>66597.374865170947</v>
      </c>
      <c r="J73" s="547">
        <f t="shared" si="36"/>
        <v>303153.75903630909</v>
      </c>
      <c r="K73" s="547">
        <f t="shared" si="36"/>
        <v>184145.16401528011</v>
      </c>
      <c r="L73" s="547">
        <f t="shared" si="36"/>
        <v>71834.764841626398</v>
      </c>
      <c r="M73" s="547">
        <f t="shared" si="36"/>
        <v>5301.3344264041589</v>
      </c>
      <c r="N73" s="547">
        <f t="shared" si="36"/>
        <v>-803909.33835699933</v>
      </c>
      <c r="O73" s="547">
        <f t="shared" si="36"/>
        <v>-496557.58700637007</v>
      </c>
      <c r="P73" s="547">
        <f t="shared" si="36"/>
        <v>-1726149.211916219</v>
      </c>
      <c r="Q73" s="547">
        <f t="shared" si="36"/>
        <v>319951.38960871822</v>
      </c>
      <c r="R73" s="547">
        <f t="shared" si="36"/>
        <v>-61810.425156236211</v>
      </c>
      <c r="S73" s="547">
        <f t="shared" si="36"/>
        <v>-13156.595940416744</v>
      </c>
      <c r="T73" s="547">
        <f t="shared" si="36"/>
        <v>-23850.252119969373</v>
      </c>
      <c r="U73" s="547">
        <f t="shared" si="36"/>
        <v>0</v>
      </c>
      <c r="V73" s="547">
        <f t="shared" si="36"/>
        <v>-16904953.479322143</v>
      </c>
      <c r="W73" s="547">
        <f t="shared" si="36"/>
        <v>340892.94246068329</v>
      </c>
      <c r="X73" s="547">
        <f t="shared" si="36"/>
        <v>0</v>
      </c>
      <c r="Y73" s="547">
        <f t="shared" si="36"/>
        <v>-7589560.1894254955</v>
      </c>
      <c r="Z73" s="547">
        <f t="shared" si="36"/>
        <v>-68620.043849999958</v>
      </c>
      <c r="AA73" s="547">
        <f t="shared" si="36"/>
        <v>167530.56</v>
      </c>
      <c r="AB73" s="547">
        <f t="shared" si="36"/>
        <v>-32912585.679400001</v>
      </c>
      <c r="AC73" s="547">
        <f t="shared" si="36"/>
        <v>-11000.8474333339</v>
      </c>
      <c r="AD73" s="547">
        <f t="shared" si="36"/>
        <v>1668426.4785019332</v>
      </c>
      <c r="AE73" s="547">
        <f t="shared" si="36"/>
        <v>0</v>
      </c>
      <c r="AF73" s="547">
        <f t="shared" si="36"/>
        <v>0</v>
      </c>
      <c r="AG73" s="547">
        <f t="shared" si="36"/>
        <v>-28021205.58949165</v>
      </c>
      <c r="AH73" s="547">
        <f t="shared" si="36"/>
        <v>363119485.51050973</v>
      </c>
      <c r="AI73" s="547">
        <f t="shared" si="36"/>
        <v>-25679089.764345825</v>
      </c>
      <c r="AJ73" s="547">
        <f t="shared" si="36"/>
        <v>8570014.0415130965</v>
      </c>
      <c r="AK73" s="547">
        <f t="shared" si="36"/>
        <v>-357152.48812509922</v>
      </c>
      <c r="AL73" s="547">
        <f t="shared" si="36"/>
        <v>-71834.764841627039</v>
      </c>
      <c r="AM73" s="547">
        <f t="shared" si="36"/>
        <v>-5301.3344264041589</v>
      </c>
      <c r="AN73" s="547">
        <f t="shared" si="36"/>
        <v>-442588.00130389305</v>
      </c>
      <c r="AO73" s="547">
        <f t="shared" si="36"/>
        <v>-3003557.1583568119</v>
      </c>
      <c r="AP73" s="547">
        <f t="shared" si="36"/>
        <v>-208177.32402600534</v>
      </c>
      <c r="AQ73" s="547">
        <f t="shared" si="36"/>
        <v>-691246.88851637836</v>
      </c>
      <c r="AR73" s="547">
        <f t="shared" si="36"/>
        <v>2791831.5547333327</v>
      </c>
      <c r="AS73" s="547">
        <f t="shared" si="36"/>
        <v>-120117.65165375613</v>
      </c>
      <c r="AT73" s="547">
        <f t="shared" si="36"/>
        <v>-7024242.582690442</v>
      </c>
      <c r="AU73" s="547">
        <f t="shared" si="36"/>
        <v>394548.96938773646</v>
      </c>
      <c r="AV73" s="547">
        <f t="shared" si="36"/>
        <v>-12677568.60713179</v>
      </c>
      <c r="AW73" s="547">
        <f t="shared" si="36"/>
        <v>477330.77329275</v>
      </c>
      <c r="AX73" s="547">
        <f t="shared" si="36"/>
        <v>9006372.2399999984</v>
      </c>
      <c r="AY73" s="547">
        <f t="shared" si="36"/>
        <v>-582529.67963589286</v>
      </c>
      <c r="AZ73" s="547">
        <f t="shared" si="36"/>
        <v>-1330725.9543599267</v>
      </c>
      <c r="BA73" s="547">
        <f t="shared" si="36"/>
        <v>-567398.9934889141</v>
      </c>
      <c r="BB73" s="547">
        <f t="shared" si="36"/>
        <v>-17795211.595228255</v>
      </c>
      <c r="BC73" s="547">
        <f t="shared" si="36"/>
        <v>526903.32847884076</v>
      </c>
      <c r="BD73" s="547">
        <f t="shared" si="36"/>
        <v>-10681804.722000003</v>
      </c>
      <c r="BE73" s="547">
        <f t="shared" si="36"/>
        <v>9100115.4800387621</v>
      </c>
      <c r="BF73" s="547">
        <f t="shared" si="36"/>
        <v>4478733.8338600006</v>
      </c>
      <c r="BG73" s="547">
        <f t="shared" si="36"/>
        <v>-809932.18299113424</v>
      </c>
      <c r="BH73" s="547">
        <f t="shared" si="36"/>
        <v>-2484593.7565199998</v>
      </c>
      <c r="BI73" s="547">
        <f t="shared" si="36"/>
        <v>45030</v>
      </c>
      <c r="BJ73" s="547">
        <f t="shared" si="36"/>
        <v>0</v>
      </c>
      <c r="BK73" s="547">
        <f t="shared" si="36"/>
        <v>-49142193.228337675</v>
      </c>
      <c r="BL73" s="547">
        <f t="shared" si="36"/>
        <v>313977292.28217196</v>
      </c>
    </row>
    <row r="74" spans="2:64" s="156" customFormat="1" ht="14.4" x14ac:dyDescent="0.3">
      <c r="B74" s="548" t="s">
        <v>921</v>
      </c>
      <c r="C74" s="346">
        <f t="shared" ref="C74:BL74" si="37">C48</f>
        <v>5208778506.3049917</v>
      </c>
      <c r="D74" s="346">
        <f t="shared" si="37"/>
        <v>0</v>
      </c>
      <c r="E74" s="346">
        <f t="shared" si="37"/>
        <v>0</v>
      </c>
      <c r="F74" s="346">
        <f t="shared" si="37"/>
        <v>0</v>
      </c>
      <c r="G74" s="346">
        <f t="shared" si="37"/>
        <v>0</v>
      </c>
      <c r="H74" s="346">
        <f t="shared" si="37"/>
        <v>0</v>
      </c>
      <c r="I74" s="346">
        <f t="shared" si="37"/>
        <v>0</v>
      </c>
      <c r="J74" s="346">
        <f t="shared" si="37"/>
        <v>0</v>
      </c>
      <c r="K74" s="346">
        <f t="shared" si="37"/>
        <v>0</v>
      </c>
      <c r="L74" s="346">
        <f t="shared" si="37"/>
        <v>0</v>
      </c>
      <c r="M74" s="346">
        <f t="shared" si="37"/>
        <v>0</v>
      </c>
      <c r="N74" s="346">
        <f t="shared" si="37"/>
        <v>0</v>
      </c>
      <c r="O74" s="346">
        <f t="shared" si="37"/>
        <v>0</v>
      </c>
      <c r="P74" s="346">
        <f t="shared" si="37"/>
        <v>0</v>
      </c>
      <c r="Q74" s="346">
        <f t="shared" si="37"/>
        <v>0</v>
      </c>
      <c r="R74" s="346">
        <f t="shared" si="37"/>
        <v>0</v>
      </c>
      <c r="S74" s="346">
        <f t="shared" si="37"/>
        <v>0</v>
      </c>
      <c r="T74" s="346">
        <f t="shared" si="37"/>
        <v>0</v>
      </c>
      <c r="U74" s="346">
        <f t="shared" si="37"/>
        <v>182818242.10345364</v>
      </c>
      <c r="V74" s="346">
        <f t="shared" si="37"/>
        <v>-16904953.479322143</v>
      </c>
      <c r="W74" s="346">
        <f t="shared" si="37"/>
        <v>0</v>
      </c>
      <c r="X74" s="346">
        <f t="shared" si="37"/>
        <v>-211405.47488111624</v>
      </c>
      <c r="Y74" s="346">
        <f t="shared" si="37"/>
        <v>0</v>
      </c>
      <c r="Z74" s="346">
        <f t="shared" si="37"/>
        <v>0</v>
      </c>
      <c r="AA74" s="346">
        <f t="shared" si="37"/>
        <v>-1615371.4300000002</v>
      </c>
      <c r="AB74" s="346">
        <f t="shared" si="37"/>
        <v>0</v>
      </c>
      <c r="AC74" s="346">
        <f t="shared" si="37"/>
        <v>0</v>
      </c>
      <c r="AD74" s="346">
        <f t="shared" si="37"/>
        <v>-11018406.688827798</v>
      </c>
      <c r="AE74" s="346">
        <f t="shared" si="37"/>
        <v>0</v>
      </c>
      <c r="AF74" s="346">
        <f t="shared" si="37"/>
        <v>0</v>
      </c>
      <c r="AG74" s="346">
        <f t="shared" si="37"/>
        <v>153068105.03042257</v>
      </c>
      <c r="AH74" s="346">
        <f t="shared" si="37"/>
        <v>5361846611.3354149</v>
      </c>
      <c r="AI74" s="346">
        <f t="shared" si="37"/>
        <v>0</v>
      </c>
      <c r="AJ74" s="346">
        <f t="shared" si="37"/>
        <v>0</v>
      </c>
      <c r="AK74" s="346">
        <f t="shared" si="37"/>
        <v>0</v>
      </c>
      <c r="AL74" s="346">
        <f t="shared" si="37"/>
        <v>0</v>
      </c>
      <c r="AM74" s="346">
        <f t="shared" si="37"/>
        <v>0</v>
      </c>
      <c r="AN74" s="346">
        <f t="shared" si="37"/>
        <v>0</v>
      </c>
      <c r="AO74" s="346">
        <f t="shared" si="37"/>
        <v>0</v>
      </c>
      <c r="AP74" s="346">
        <f t="shared" si="37"/>
        <v>0</v>
      </c>
      <c r="AQ74" s="346">
        <f t="shared" si="37"/>
        <v>0</v>
      </c>
      <c r="AR74" s="346">
        <f t="shared" si="37"/>
        <v>0</v>
      </c>
      <c r="AS74" s="346">
        <f t="shared" si="37"/>
        <v>0</v>
      </c>
      <c r="AT74" s="346">
        <f t="shared" si="37"/>
        <v>64963194.076797329</v>
      </c>
      <c r="AU74" s="346">
        <f t="shared" si="37"/>
        <v>0</v>
      </c>
      <c r="AV74" s="346">
        <f t="shared" si="37"/>
        <v>36080288.955627486</v>
      </c>
      <c r="AW74" s="346">
        <f t="shared" si="37"/>
        <v>0</v>
      </c>
      <c r="AX74" s="346">
        <f t="shared" si="37"/>
        <v>4503186.1200000085</v>
      </c>
      <c r="AY74" s="346">
        <f t="shared" si="37"/>
        <v>25767063.321957536</v>
      </c>
      <c r="AZ74" s="346">
        <f t="shared" si="37"/>
        <v>0</v>
      </c>
      <c r="BA74" s="346">
        <f t="shared" si="37"/>
        <v>5798357.5857409984</v>
      </c>
      <c r="BB74" s="346">
        <f t="shared" si="37"/>
        <v>0</v>
      </c>
      <c r="BC74" s="346">
        <f t="shared" si="37"/>
        <v>0</v>
      </c>
      <c r="BD74" s="346">
        <f t="shared" si="37"/>
        <v>0</v>
      </c>
      <c r="BE74" s="346">
        <f t="shared" si="37"/>
        <v>-23391891.903797138</v>
      </c>
      <c r="BF74" s="346">
        <f t="shared" si="37"/>
        <v>-3321469.9169705859</v>
      </c>
      <c r="BG74" s="346">
        <f t="shared" si="37"/>
        <v>34322392.17098815</v>
      </c>
      <c r="BH74" s="346">
        <f t="shared" si="37"/>
        <v>4143548.7960133362</v>
      </c>
      <c r="BI74" s="346">
        <f t="shared" si="37"/>
        <v>-550000</v>
      </c>
      <c r="BJ74" s="346">
        <f t="shared" si="37"/>
        <v>0</v>
      </c>
      <c r="BK74" s="346">
        <f t="shared" si="37"/>
        <v>148314669.20635712</v>
      </c>
      <c r="BL74" s="346">
        <f t="shared" si="37"/>
        <v>5510161280.5417719</v>
      </c>
    </row>
    <row r="75" spans="2:64" s="156" customFormat="1" ht="14.4" x14ac:dyDescent="0.3">
      <c r="B75" s="319" t="s">
        <v>923</v>
      </c>
      <c r="C75" s="356"/>
      <c r="D75" s="356"/>
      <c r="E75" s="356"/>
      <c r="F75" s="356"/>
      <c r="G75" s="356"/>
      <c r="H75" s="356"/>
      <c r="I75" s="356"/>
      <c r="J75" s="356"/>
      <c r="K75" s="356"/>
      <c r="L75" s="356"/>
      <c r="M75" s="356"/>
      <c r="N75" s="356"/>
      <c r="O75" s="356"/>
      <c r="P75" s="356"/>
      <c r="Q75" s="356"/>
      <c r="R75" s="356"/>
      <c r="S75" s="356"/>
      <c r="T75" s="356"/>
      <c r="U75" s="356"/>
      <c r="V75" s="356"/>
      <c r="W75" s="356"/>
      <c r="X75" s="356"/>
      <c r="Y75" s="356"/>
      <c r="Z75" s="356"/>
      <c r="AA75" s="356"/>
      <c r="AB75" s="356"/>
      <c r="AC75" s="356"/>
      <c r="AD75" s="356"/>
      <c r="AE75" s="356"/>
      <c r="AF75" s="356"/>
      <c r="AG75" s="356"/>
      <c r="AH75" s="356"/>
      <c r="AI75" s="356"/>
      <c r="AJ75" s="356"/>
      <c r="AK75" s="356"/>
      <c r="AL75" s="356"/>
      <c r="AM75" s="356"/>
      <c r="AN75" s="356"/>
      <c r="AO75" s="356"/>
      <c r="AP75" s="356"/>
      <c r="AQ75" s="356"/>
      <c r="AR75" s="356"/>
      <c r="AS75" s="356"/>
      <c r="AT75" s="356"/>
      <c r="AU75" s="356"/>
      <c r="AV75" s="356"/>
      <c r="AW75" s="356"/>
      <c r="AX75" s="356"/>
      <c r="AY75" s="356"/>
      <c r="AZ75" s="356"/>
      <c r="BA75" s="356"/>
      <c r="BB75" s="356"/>
      <c r="BC75" s="356"/>
      <c r="BD75" s="356"/>
      <c r="BE75" s="356"/>
      <c r="BF75" s="356"/>
      <c r="BG75" s="356"/>
      <c r="BH75" s="356"/>
      <c r="BI75" s="356"/>
      <c r="BJ75" s="356"/>
      <c r="BK75" s="356"/>
      <c r="BL75" s="356"/>
    </row>
    <row r="76" spans="2:64" s="156" customFormat="1" ht="15" customHeight="1" x14ac:dyDescent="0.3">
      <c r="B76" s="549" t="s">
        <v>194</v>
      </c>
      <c r="C76" s="550">
        <f t="shared" ref="C76:R77" si="38">C73-C70</f>
        <v>0</v>
      </c>
      <c r="D76" s="550">
        <f t="shared" si="38"/>
        <v>0</v>
      </c>
      <c r="E76" s="550">
        <f t="shared" si="38"/>
        <v>0</v>
      </c>
      <c r="F76" s="550">
        <f t="shared" si="38"/>
        <v>0</v>
      </c>
      <c r="G76" s="550">
        <f t="shared" si="38"/>
        <v>0</v>
      </c>
      <c r="H76" s="550">
        <f t="shared" si="38"/>
        <v>0</v>
      </c>
      <c r="I76" s="550">
        <f t="shared" si="38"/>
        <v>0</v>
      </c>
      <c r="J76" s="550">
        <f t="shared" si="38"/>
        <v>0</v>
      </c>
      <c r="K76" s="550">
        <f t="shared" si="38"/>
        <v>0</v>
      </c>
      <c r="L76" s="550">
        <f t="shared" si="38"/>
        <v>0</v>
      </c>
      <c r="M76" s="550">
        <f t="shared" si="38"/>
        <v>0</v>
      </c>
      <c r="N76" s="550">
        <f t="shared" si="38"/>
        <v>0</v>
      </c>
      <c r="O76" s="550">
        <f t="shared" si="38"/>
        <v>0</v>
      </c>
      <c r="P76" s="550">
        <f t="shared" si="38"/>
        <v>0</v>
      </c>
      <c r="Q76" s="550">
        <f t="shared" si="38"/>
        <v>0</v>
      </c>
      <c r="R76" s="550">
        <f t="shared" si="38"/>
        <v>0</v>
      </c>
      <c r="S76" s="550">
        <f t="shared" ref="D76:BL77" si="39">S73-S70</f>
        <v>0</v>
      </c>
      <c r="T76" s="550">
        <f t="shared" si="39"/>
        <v>0</v>
      </c>
      <c r="U76" s="550">
        <f t="shared" si="39"/>
        <v>0</v>
      </c>
      <c r="V76" s="550">
        <f t="shared" si="39"/>
        <v>0</v>
      </c>
      <c r="W76" s="550">
        <f t="shared" si="39"/>
        <v>0</v>
      </c>
      <c r="X76" s="550">
        <f t="shared" si="39"/>
        <v>0</v>
      </c>
      <c r="Y76" s="550">
        <f t="shared" si="39"/>
        <v>0</v>
      </c>
      <c r="Z76" s="550">
        <f t="shared" si="39"/>
        <v>0</v>
      </c>
      <c r="AA76" s="550">
        <f t="shared" si="39"/>
        <v>0</v>
      </c>
      <c r="AB76" s="550">
        <f t="shared" si="39"/>
        <v>0</v>
      </c>
      <c r="AC76" s="550">
        <f t="shared" si="39"/>
        <v>0</v>
      </c>
      <c r="AD76" s="550">
        <f t="shared" si="39"/>
        <v>0</v>
      </c>
      <c r="AE76" s="550">
        <f t="shared" si="39"/>
        <v>0</v>
      </c>
      <c r="AF76" s="550">
        <f t="shared" si="39"/>
        <v>0</v>
      </c>
      <c r="AG76" s="550">
        <f t="shared" si="39"/>
        <v>0</v>
      </c>
      <c r="AH76" s="550">
        <f t="shared" si="39"/>
        <v>0</v>
      </c>
      <c r="AI76" s="550">
        <f t="shared" si="39"/>
        <v>0</v>
      </c>
      <c r="AJ76" s="550">
        <f t="shared" si="39"/>
        <v>0</v>
      </c>
      <c r="AK76" s="550">
        <f t="shared" si="39"/>
        <v>0</v>
      </c>
      <c r="AL76" s="550">
        <f t="shared" si="39"/>
        <v>0</v>
      </c>
      <c r="AM76" s="550">
        <f t="shared" si="39"/>
        <v>0</v>
      </c>
      <c r="AN76" s="550">
        <f t="shared" si="39"/>
        <v>0</v>
      </c>
      <c r="AO76" s="550">
        <f t="shared" si="39"/>
        <v>0</v>
      </c>
      <c r="AP76" s="550">
        <f t="shared" si="39"/>
        <v>0</v>
      </c>
      <c r="AQ76" s="550">
        <f t="shared" si="39"/>
        <v>0</v>
      </c>
      <c r="AR76" s="550">
        <f t="shared" si="39"/>
        <v>0</v>
      </c>
      <c r="AS76" s="550">
        <f t="shared" si="39"/>
        <v>0</v>
      </c>
      <c r="AT76" s="550">
        <f t="shared" si="39"/>
        <v>0</v>
      </c>
      <c r="AU76" s="550">
        <f t="shared" si="39"/>
        <v>0</v>
      </c>
      <c r="AV76" s="550">
        <f t="shared" si="39"/>
        <v>0</v>
      </c>
      <c r="AW76" s="550">
        <f t="shared" si="39"/>
        <v>0</v>
      </c>
      <c r="AX76" s="550">
        <f t="shared" si="39"/>
        <v>0</v>
      </c>
      <c r="AY76" s="550">
        <f t="shared" si="39"/>
        <v>0</v>
      </c>
      <c r="AZ76" s="550">
        <f t="shared" si="39"/>
        <v>0</v>
      </c>
      <c r="BA76" s="550">
        <f t="shared" si="39"/>
        <v>0</v>
      </c>
      <c r="BB76" s="550">
        <f t="shared" si="39"/>
        <v>0</v>
      </c>
      <c r="BC76" s="550">
        <f t="shared" si="39"/>
        <v>0</v>
      </c>
      <c r="BD76" s="550">
        <f t="shared" si="39"/>
        <v>0</v>
      </c>
      <c r="BE76" s="550">
        <f t="shared" si="39"/>
        <v>0</v>
      </c>
      <c r="BF76" s="550">
        <f t="shared" si="39"/>
        <v>0</v>
      </c>
      <c r="BG76" s="550">
        <f t="shared" si="39"/>
        <v>0</v>
      </c>
      <c r="BH76" s="550">
        <f t="shared" si="39"/>
        <v>0</v>
      </c>
      <c r="BI76" s="550">
        <f t="shared" si="39"/>
        <v>0</v>
      </c>
      <c r="BJ76" s="550">
        <f t="shared" si="39"/>
        <v>0</v>
      </c>
      <c r="BK76" s="550">
        <f t="shared" si="39"/>
        <v>0</v>
      </c>
      <c r="BL76" s="550">
        <f t="shared" si="39"/>
        <v>0</v>
      </c>
    </row>
    <row r="77" spans="2:64" s="156" customFormat="1" ht="15.75" customHeight="1" x14ac:dyDescent="0.3">
      <c r="B77" s="548" t="s">
        <v>924</v>
      </c>
      <c r="C77" s="551">
        <f t="shared" si="38"/>
        <v>0</v>
      </c>
      <c r="D77" s="551">
        <f t="shared" si="39"/>
        <v>0</v>
      </c>
      <c r="E77" s="551">
        <f t="shared" si="39"/>
        <v>0</v>
      </c>
      <c r="F77" s="551">
        <f t="shared" si="39"/>
        <v>0</v>
      </c>
      <c r="G77" s="551">
        <f t="shared" si="39"/>
        <v>0</v>
      </c>
      <c r="H77" s="551">
        <f t="shared" si="39"/>
        <v>0</v>
      </c>
      <c r="I77" s="551">
        <f t="shared" si="39"/>
        <v>0</v>
      </c>
      <c r="J77" s="551">
        <f t="shared" si="39"/>
        <v>0</v>
      </c>
      <c r="K77" s="551">
        <f t="shared" si="39"/>
        <v>0</v>
      </c>
      <c r="L77" s="551">
        <f t="shared" si="39"/>
        <v>0</v>
      </c>
      <c r="M77" s="551">
        <f t="shared" si="39"/>
        <v>0</v>
      </c>
      <c r="N77" s="551">
        <f t="shared" si="39"/>
        <v>0</v>
      </c>
      <c r="O77" s="551">
        <f t="shared" si="39"/>
        <v>0</v>
      </c>
      <c r="P77" s="551">
        <f t="shared" si="39"/>
        <v>0</v>
      </c>
      <c r="Q77" s="551">
        <f t="shared" si="39"/>
        <v>0</v>
      </c>
      <c r="R77" s="551">
        <f t="shared" si="39"/>
        <v>0</v>
      </c>
      <c r="S77" s="551">
        <f t="shared" si="39"/>
        <v>0</v>
      </c>
      <c r="T77" s="551">
        <f t="shared" si="39"/>
        <v>0</v>
      </c>
      <c r="U77" s="551">
        <f t="shared" si="39"/>
        <v>0</v>
      </c>
      <c r="V77" s="551">
        <f t="shared" si="39"/>
        <v>0</v>
      </c>
      <c r="W77" s="551">
        <f t="shared" si="39"/>
        <v>0</v>
      </c>
      <c r="X77" s="551">
        <f t="shared" si="39"/>
        <v>0</v>
      </c>
      <c r="Y77" s="551">
        <f t="shared" si="39"/>
        <v>0</v>
      </c>
      <c r="Z77" s="551">
        <f t="shared" si="39"/>
        <v>0</v>
      </c>
      <c r="AA77" s="551">
        <f t="shared" si="39"/>
        <v>0</v>
      </c>
      <c r="AB77" s="551">
        <f t="shared" si="39"/>
        <v>0</v>
      </c>
      <c r="AC77" s="551">
        <f t="shared" si="39"/>
        <v>0</v>
      </c>
      <c r="AD77" s="551">
        <f t="shared" si="39"/>
        <v>0</v>
      </c>
      <c r="AE77" s="551">
        <f t="shared" si="39"/>
        <v>0</v>
      </c>
      <c r="AF77" s="551">
        <f t="shared" si="39"/>
        <v>0</v>
      </c>
      <c r="AG77" s="551">
        <f t="shared" si="39"/>
        <v>0</v>
      </c>
      <c r="AH77" s="551">
        <f t="shared" si="39"/>
        <v>0</v>
      </c>
      <c r="AI77" s="551">
        <f t="shared" si="39"/>
        <v>0</v>
      </c>
      <c r="AJ77" s="551">
        <f t="shared" si="39"/>
        <v>0</v>
      </c>
      <c r="AK77" s="551">
        <f t="shared" si="39"/>
        <v>0</v>
      </c>
      <c r="AL77" s="551">
        <f t="shared" si="39"/>
        <v>0</v>
      </c>
      <c r="AM77" s="551">
        <f t="shared" si="39"/>
        <v>0</v>
      </c>
      <c r="AN77" s="551">
        <f t="shared" si="39"/>
        <v>0</v>
      </c>
      <c r="AO77" s="551">
        <f t="shared" si="39"/>
        <v>0</v>
      </c>
      <c r="AP77" s="551">
        <f t="shared" si="39"/>
        <v>0</v>
      </c>
      <c r="AQ77" s="551">
        <f t="shared" si="39"/>
        <v>0</v>
      </c>
      <c r="AR77" s="551">
        <f t="shared" si="39"/>
        <v>0</v>
      </c>
      <c r="AS77" s="551">
        <f t="shared" si="39"/>
        <v>0</v>
      </c>
      <c r="AT77" s="551">
        <f t="shared" si="39"/>
        <v>0</v>
      </c>
      <c r="AU77" s="551">
        <f t="shared" si="39"/>
        <v>0</v>
      </c>
      <c r="AV77" s="551">
        <f t="shared" si="39"/>
        <v>0</v>
      </c>
      <c r="AW77" s="551">
        <f t="shared" si="39"/>
        <v>0</v>
      </c>
      <c r="AX77" s="551">
        <f t="shared" si="39"/>
        <v>0</v>
      </c>
      <c r="AY77" s="551">
        <f t="shared" si="39"/>
        <v>0</v>
      </c>
      <c r="AZ77" s="551">
        <f t="shared" si="39"/>
        <v>0</v>
      </c>
      <c r="BA77" s="551">
        <f t="shared" si="39"/>
        <v>0</v>
      </c>
      <c r="BB77" s="551">
        <f t="shared" si="39"/>
        <v>0</v>
      </c>
      <c r="BC77" s="551">
        <f t="shared" si="39"/>
        <v>0</v>
      </c>
      <c r="BD77" s="551">
        <f t="shared" si="39"/>
        <v>0</v>
      </c>
      <c r="BE77" s="551">
        <f t="shared" si="39"/>
        <v>0</v>
      </c>
      <c r="BF77" s="551">
        <f t="shared" si="39"/>
        <v>0</v>
      </c>
      <c r="BG77" s="551">
        <f t="shared" si="39"/>
        <v>0</v>
      </c>
      <c r="BH77" s="551">
        <f t="shared" si="39"/>
        <v>0</v>
      </c>
      <c r="BI77" s="551">
        <f t="shared" si="39"/>
        <v>0</v>
      </c>
      <c r="BJ77" s="551">
        <f t="shared" si="39"/>
        <v>0</v>
      </c>
      <c r="BK77" s="551">
        <f t="shared" si="39"/>
        <v>0</v>
      </c>
      <c r="BL77" s="551">
        <f t="shared" si="39"/>
        <v>0</v>
      </c>
    </row>
    <row r="78" spans="2:64" s="156" customFormat="1" ht="14.4" x14ac:dyDescent="0.3"/>
    <row r="79" spans="2:64" s="156" customFormat="1" ht="14.4" x14ac:dyDescent="0.3"/>
    <row r="80" spans="2:64" s="156" customFormat="1" ht="14.4" x14ac:dyDescent="0.3"/>
    <row r="81" spans="1:64" s="156" customFormat="1" ht="14.4" x14ac:dyDescent="0.3">
      <c r="A81" s="302"/>
    </row>
    <row r="82" spans="1:64" s="11" customFormat="1" x14ac:dyDescent="0.25">
      <c r="A82" s="302"/>
      <c r="B82" s="55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Y82" s="12"/>
      <c r="Z82" s="12"/>
      <c r="AA82" s="12"/>
      <c r="AB82" s="12"/>
      <c r="AC82" s="12"/>
      <c r="AD82" s="12"/>
      <c r="AE82" s="12"/>
      <c r="AF82" s="12"/>
      <c r="AG82" s="6"/>
      <c r="AH82" s="6"/>
      <c r="AI82" s="12"/>
      <c r="AJ82" s="6"/>
      <c r="AK82" s="12"/>
      <c r="AL82" s="12"/>
      <c r="AM82" s="12"/>
      <c r="AN82" s="12"/>
      <c r="AO82" s="12"/>
      <c r="AP82" s="12"/>
      <c r="AQ82" s="12"/>
      <c r="AR82" s="12"/>
      <c r="AS82" s="12"/>
      <c r="AT82" s="12"/>
      <c r="AU82" s="12"/>
      <c r="AV82" s="12"/>
      <c r="AW82" s="12"/>
      <c r="AX82" s="12"/>
      <c r="AY82" s="12"/>
      <c r="AZ82" s="12"/>
      <c r="BA82" s="12"/>
      <c r="BB82" s="12"/>
      <c r="BC82" s="12"/>
      <c r="BD82" s="12"/>
      <c r="BE82" s="12"/>
      <c r="BF82" s="12"/>
      <c r="BG82" s="12"/>
      <c r="BH82" s="12"/>
      <c r="BI82" s="12"/>
      <c r="BJ82" s="12"/>
      <c r="BK82" s="12"/>
      <c r="BL82" s="12"/>
    </row>
    <row r="83" spans="1:64" s="11" customFormat="1" x14ac:dyDescent="0.25">
      <c r="A83" s="302"/>
      <c r="B83" s="552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  <c r="AA83" s="13"/>
      <c r="AB83" s="13"/>
      <c r="AC83" s="13"/>
      <c r="AD83" s="13"/>
      <c r="AE83" s="13"/>
      <c r="AF83" s="13"/>
      <c r="AG83" s="13"/>
      <c r="AH83" s="13"/>
      <c r="AI83" s="13"/>
      <c r="AJ83" s="13"/>
      <c r="AK83" s="13"/>
      <c r="AL83" s="13"/>
      <c r="AM83" s="13"/>
      <c r="AN83" s="13"/>
      <c r="AO83" s="13"/>
      <c r="AP83" s="13"/>
      <c r="AQ83" s="13"/>
      <c r="AR83" s="13"/>
      <c r="AS83" s="13"/>
      <c r="AT83" s="13"/>
      <c r="AU83" s="13"/>
      <c r="AV83" s="13"/>
      <c r="AW83" s="13"/>
      <c r="AX83" s="13"/>
      <c r="AY83" s="13"/>
      <c r="AZ83" s="13"/>
      <c r="BA83" s="13"/>
      <c r="BB83" s="13"/>
      <c r="BC83" s="13"/>
      <c r="BD83" s="13"/>
      <c r="BE83" s="13"/>
      <c r="BF83" s="13"/>
      <c r="BG83" s="13"/>
      <c r="BH83" s="13"/>
      <c r="BI83" s="13"/>
      <c r="BJ83" s="13"/>
      <c r="BK83" s="13"/>
      <c r="BL83" s="13"/>
    </row>
    <row r="84" spans="1:64" s="11" customFormat="1" x14ac:dyDescent="0.25">
      <c r="A84" s="302"/>
      <c r="B84" s="372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  <c r="AA84" s="13"/>
      <c r="AB84" s="13"/>
      <c r="AC84" s="13"/>
      <c r="AD84" s="13"/>
      <c r="AE84" s="13"/>
      <c r="AF84" s="13"/>
      <c r="AG84" s="13"/>
      <c r="AH84" s="13"/>
      <c r="AI84" s="13"/>
      <c r="AJ84" s="13"/>
      <c r="AK84" s="13"/>
      <c r="AL84" s="13"/>
      <c r="AM84" s="13"/>
      <c r="AN84" s="13"/>
      <c r="AO84" s="13"/>
      <c r="AP84" s="13"/>
      <c r="AQ84" s="13"/>
      <c r="AR84" s="13"/>
      <c r="AS84" s="13"/>
      <c r="AT84" s="13"/>
      <c r="AU84" s="13"/>
      <c r="AV84" s="13"/>
      <c r="AW84" s="13"/>
      <c r="AX84" s="13"/>
      <c r="AY84" s="13"/>
      <c r="AZ84" s="13"/>
      <c r="BA84" s="13"/>
      <c r="BB84" s="13"/>
      <c r="BC84" s="13"/>
      <c r="BD84" s="13"/>
      <c r="BE84" s="13"/>
      <c r="BF84" s="13"/>
      <c r="BG84" s="13"/>
      <c r="BH84" s="13"/>
      <c r="BI84" s="13"/>
      <c r="BJ84" s="13"/>
      <c r="BK84" s="13"/>
      <c r="BL84" s="13"/>
    </row>
    <row r="85" spans="1:64" s="11" customFormat="1" x14ac:dyDescent="0.25">
      <c r="A85" s="302"/>
      <c r="B85" s="372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3"/>
      <c r="AA85" s="13"/>
      <c r="AB85" s="13"/>
      <c r="AC85" s="13"/>
      <c r="AD85" s="13"/>
      <c r="AE85" s="13"/>
      <c r="AF85" s="13"/>
      <c r="AG85" s="6"/>
      <c r="AH85" s="6"/>
      <c r="AI85" s="328"/>
      <c r="AJ85" s="6"/>
      <c r="AK85" s="328"/>
      <c r="AL85" s="328"/>
      <c r="AM85" s="328"/>
      <c r="AN85" s="328"/>
      <c r="AO85" s="328"/>
      <c r="AP85" s="328"/>
      <c r="AQ85" s="328"/>
      <c r="AR85" s="328"/>
      <c r="AS85" s="328"/>
      <c r="AT85" s="328"/>
      <c r="AU85" s="328"/>
      <c r="AV85" s="328"/>
      <c r="AW85" s="328"/>
      <c r="AX85" s="328"/>
      <c r="AY85" s="12"/>
      <c r="AZ85" s="328"/>
      <c r="BA85" s="328"/>
      <c r="BB85" s="328"/>
      <c r="BC85" s="328"/>
      <c r="BD85" s="328"/>
      <c r="BE85" s="328"/>
      <c r="BF85" s="328"/>
      <c r="BG85" s="328"/>
      <c r="BH85" s="328"/>
      <c r="BI85" s="328"/>
      <c r="BJ85" s="328"/>
      <c r="BK85" s="328"/>
      <c r="BL85" s="328"/>
    </row>
    <row r="86" spans="1:64" s="11" customFormat="1" x14ac:dyDescent="0.25">
      <c r="A86" s="302"/>
      <c r="B86" s="372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  <c r="AA86" s="13"/>
      <c r="AB86" s="13"/>
      <c r="AC86" s="13"/>
      <c r="AD86" s="13"/>
      <c r="AE86" s="13"/>
      <c r="AF86" s="13"/>
      <c r="AG86" s="6"/>
      <c r="AH86" s="6"/>
      <c r="AI86" s="328"/>
      <c r="AJ86" s="6"/>
      <c r="AK86" s="328"/>
      <c r="AL86" s="328"/>
      <c r="AM86" s="328"/>
      <c r="AN86" s="328"/>
      <c r="AO86" s="328"/>
      <c r="AP86" s="328"/>
      <c r="AQ86" s="328"/>
      <c r="AR86" s="328"/>
      <c r="AS86" s="328"/>
      <c r="AT86" s="328"/>
      <c r="AU86" s="328"/>
      <c r="AV86" s="328"/>
      <c r="AW86" s="328"/>
      <c r="AX86" s="328"/>
      <c r="AY86" s="328"/>
      <c r="AZ86" s="328"/>
      <c r="BA86" s="328"/>
      <c r="BB86" s="328"/>
      <c r="BC86" s="328"/>
      <c r="BD86" s="328"/>
      <c r="BE86" s="328"/>
      <c r="BF86" s="328"/>
      <c r="BG86" s="328"/>
      <c r="BH86" s="328"/>
      <c r="BI86" s="328"/>
      <c r="BJ86" s="328"/>
      <c r="BK86" s="328"/>
      <c r="BL86" s="328"/>
    </row>
    <row r="87" spans="1:64" s="11" customFormat="1" x14ac:dyDescent="0.25">
      <c r="A87" s="302"/>
      <c r="B87" s="372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  <c r="AA87" s="13"/>
      <c r="AB87" s="13"/>
      <c r="AC87" s="13"/>
      <c r="AD87" s="13"/>
      <c r="AE87" s="13"/>
      <c r="AF87" s="13"/>
      <c r="AG87" s="6"/>
      <c r="AH87" s="6"/>
      <c r="AI87" s="328"/>
      <c r="AJ87" s="6"/>
      <c r="AK87" s="328"/>
      <c r="AL87" s="328"/>
      <c r="AM87" s="328"/>
      <c r="AN87" s="328"/>
      <c r="AO87" s="328"/>
      <c r="AP87" s="328"/>
      <c r="AQ87" s="328"/>
      <c r="AR87" s="328"/>
      <c r="AS87" s="328"/>
      <c r="AT87" s="328"/>
      <c r="AU87" s="328"/>
      <c r="AV87" s="328"/>
      <c r="AW87" s="328"/>
      <c r="AX87" s="328"/>
      <c r="AY87" s="328"/>
      <c r="AZ87" s="328"/>
      <c r="BA87" s="328"/>
      <c r="BB87" s="328"/>
      <c r="BC87" s="328"/>
      <c r="BD87" s="328"/>
      <c r="BE87" s="328"/>
      <c r="BF87" s="328"/>
      <c r="BG87" s="328"/>
      <c r="BH87" s="328"/>
      <c r="BI87" s="328"/>
      <c r="BJ87" s="328"/>
      <c r="BK87" s="328"/>
      <c r="BL87" s="328"/>
    </row>
    <row r="88" spans="1:64" s="11" customFormat="1" x14ac:dyDescent="0.25">
      <c r="A88" s="302"/>
      <c r="B88" s="37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F88" s="12"/>
      <c r="AG88" s="6"/>
      <c r="AH88" s="6"/>
      <c r="AI88" s="12"/>
      <c r="AJ88" s="6"/>
      <c r="AK88" s="12"/>
      <c r="AL88" s="12"/>
      <c r="AM88" s="12"/>
      <c r="AN88" s="12"/>
      <c r="AO88" s="12"/>
      <c r="AP88" s="12"/>
      <c r="AQ88" s="12"/>
      <c r="AR88" s="12"/>
      <c r="AS88" s="12"/>
      <c r="AT88" s="12"/>
      <c r="AU88" s="12"/>
      <c r="AV88" s="12"/>
      <c r="AW88" s="12"/>
      <c r="AX88" s="12"/>
      <c r="AY88" s="12"/>
      <c r="AZ88" s="12"/>
      <c r="BA88" s="12"/>
      <c r="BB88" s="12"/>
      <c r="BC88" s="12"/>
      <c r="BD88" s="12"/>
      <c r="BE88" s="12"/>
      <c r="BF88" s="12"/>
      <c r="BG88" s="12"/>
      <c r="BH88" s="12"/>
      <c r="BI88" s="12"/>
      <c r="BJ88" s="12"/>
      <c r="BK88" s="12"/>
      <c r="BL88" s="12"/>
    </row>
    <row r="89" spans="1:64" s="11" customFormat="1" x14ac:dyDescent="0.25">
      <c r="AG89" s="6"/>
      <c r="AH89" s="6"/>
      <c r="AJ89" s="6"/>
    </row>
    <row r="90" spans="1:64" s="11" customFormat="1" x14ac:dyDescent="0.25">
      <c r="AG90" s="6"/>
      <c r="AH90" s="6"/>
      <c r="AJ90" s="6"/>
    </row>
    <row r="91" spans="1:64" s="11" customFormat="1" x14ac:dyDescent="0.25">
      <c r="A91" s="302"/>
      <c r="B91" s="372"/>
      <c r="C91" s="328"/>
      <c r="D91" s="328"/>
      <c r="E91" s="328"/>
      <c r="F91" s="328"/>
      <c r="G91" s="328"/>
      <c r="H91" s="328"/>
      <c r="I91" s="328"/>
      <c r="J91" s="328"/>
      <c r="K91" s="328"/>
      <c r="L91" s="328"/>
      <c r="M91" s="328"/>
      <c r="N91" s="328"/>
      <c r="O91" s="328"/>
      <c r="P91" s="328"/>
      <c r="Q91" s="328"/>
      <c r="R91" s="328"/>
      <c r="S91" s="328"/>
      <c r="T91" s="328"/>
      <c r="U91" s="328"/>
      <c r="V91" s="328"/>
      <c r="W91" s="328"/>
      <c r="X91" s="328"/>
      <c r="Y91" s="328"/>
      <c r="Z91" s="328"/>
      <c r="AA91" s="328"/>
      <c r="AB91" s="328"/>
      <c r="AC91" s="328"/>
      <c r="AD91" s="328"/>
      <c r="AE91" s="328"/>
      <c r="AF91" s="328"/>
      <c r="AG91" s="6"/>
      <c r="AH91" s="6"/>
      <c r="AI91" s="328"/>
      <c r="AJ91" s="6"/>
      <c r="AK91" s="328"/>
      <c r="AL91" s="328"/>
      <c r="AM91" s="328"/>
      <c r="AN91" s="328"/>
      <c r="AO91" s="328"/>
      <c r="AP91" s="328"/>
      <c r="AQ91" s="328"/>
      <c r="AR91" s="328"/>
      <c r="AS91" s="328"/>
      <c r="AT91" s="328"/>
      <c r="AU91" s="328"/>
      <c r="AV91" s="328"/>
      <c r="AW91" s="328"/>
      <c r="AX91" s="328"/>
      <c r="AY91" s="328"/>
      <c r="AZ91" s="328"/>
      <c r="BA91" s="328"/>
      <c r="BB91" s="328"/>
      <c r="BC91" s="328"/>
      <c r="BD91" s="328"/>
      <c r="BE91" s="328"/>
      <c r="BF91" s="328"/>
      <c r="BG91" s="328"/>
      <c r="BH91" s="328"/>
      <c r="BI91" s="328"/>
      <c r="BJ91" s="328"/>
      <c r="BK91" s="328"/>
      <c r="BL91" s="328"/>
    </row>
    <row r="92" spans="1:64" s="11" customFormat="1" x14ac:dyDescent="0.25">
      <c r="A92" s="302"/>
      <c r="B92" s="55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Y92" s="12"/>
      <c r="Z92" s="12"/>
      <c r="AA92" s="12"/>
      <c r="AB92" s="12"/>
      <c r="AC92" s="12"/>
      <c r="AD92" s="12"/>
      <c r="AE92" s="12"/>
      <c r="AF92" s="12"/>
      <c r="AG92" s="6"/>
      <c r="AH92" s="6"/>
      <c r="AI92" s="12"/>
      <c r="AJ92" s="6"/>
      <c r="AK92" s="12"/>
      <c r="AL92" s="12"/>
      <c r="AM92" s="12"/>
      <c r="AN92" s="12"/>
      <c r="AO92" s="12"/>
      <c r="AP92" s="12"/>
      <c r="AQ92" s="12"/>
      <c r="AR92" s="12"/>
      <c r="AS92" s="12"/>
      <c r="AT92" s="12"/>
      <c r="AU92" s="12"/>
      <c r="AV92" s="12"/>
      <c r="AW92" s="12"/>
      <c r="AX92" s="12"/>
      <c r="AY92" s="12"/>
      <c r="AZ92" s="12"/>
      <c r="BA92" s="12"/>
      <c r="BB92" s="12"/>
      <c r="BC92" s="12"/>
      <c r="BD92" s="12"/>
      <c r="BE92" s="12"/>
      <c r="BF92" s="12"/>
      <c r="BG92" s="12"/>
      <c r="BH92" s="12"/>
      <c r="BI92" s="12"/>
      <c r="BJ92" s="12"/>
      <c r="BK92" s="12"/>
      <c r="BL92" s="12"/>
    </row>
    <row r="93" spans="1:64" s="11" customFormat="1" x14ac:dyDescent="0.25">
      <c r="A93" s="302"/>
      <c r="B93" s="552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  <c r="AA93" s="13"/>
      <c r="AB93" s="13"/>
      <c r="AC93" s="13"/>
      <c r="AD93" s="13"/>
      <c r="AE93" s="13"/>
      <c r="AF93" s="13"/>
      <c r="AG93" s="6"/>
      <c r="AH93" s="6"/>
      <c r="AI93" s="328"/>
      <c r="AJ93" s="6"/>
      <c r="AK93" s="328"/>
      <c r="AL93" s="328"/>
      <c r="AM93" s="328"/>
      <c r="AN93" s="328"/>
      <c r="AO93" s="328"/>
      <c r="AP93" s="328"/>
      <c r="AQ93" s="328"/>
      <c r="AR93" s="328"/>
      <c r="AS93" s="328"/>
      <c r="AT93" s="328"/>
      <c r="AU93" s="328"/>
      <c r="AV93" s="328"/>
      <c r="AW93" s="328"/>
      <c r="AX93" s="328"/>
      <c r="AY93" s="12"/>
      <c r="AZ93" s="328"/>
      <c r="BA93" s="328"/>
      <c r="BB93" s="328"/>
      <c r="BC93" s="328"/>
      <c r="BD93" s="328"/>
      <c r="BE93" s="328"/>
      <c r="BF93" s="328"/>
      <c r="BG93" s="328"/>
      <c r="BH93" s="328"/>
      <c r="BI93" s="328"/>
      <c r="BJ93" s="328"/>
      <c r="BK93" s="328"/>
      <c r="BL93" s="328"/>
    </row>
    <row r="94" spans="1:64" s="11" customFormat="1" x14ac:dyDescent="0.25">
      <c r="A94" s="302"/>
      <c r="B94" s="372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  <c r="AA94" s="13"/>
      <c r="AB94" s="13"/>
      <c r="AC94" s="13"/>
      <c r="AD94" s="13"/>
      <c r="AE94" s="13"/>
      <c r="AF94" s="13"/>
      <c r="AG94" s="6"/>
      <c r="AH94" s="6"/>
      <c r="AI94" s="328"/>
      <c r="AJ94" s="6"/>
      <c r="AK94" s="328"/>
      <c r="AL94" s="328"/>
      <c r="AM94" s="328"/>
      <c r="AN94" s="328"/>
      <c r="AO94" s="328"/>
      <c r="AP94" s="328"/>
      <c r="AQ94" s="328"/>
      <c r="AR94" s="328"/>
      <c r="AS94" s="328"/>
      <c r="AT94" s="328"/>
      <c r="AU94" s="328"/>
      <c r="AV94" s="328"/>
      <c r="AW94" s="328"/>
      <c r="AX94" s="328"/>
      <c r="AY94" s="12"/>
      <c r="AZ94" s="328"/>
      <c r="BA94" s="328"/>
      <c r="BB94" s="328"/>
      <c r="BC94" s="328"/>
      <c r="BD94" s="328"/>
      <c r="BE94" s="328"/>
      <c r="BF94" s="328"/>
      <c r="BG94" s="328"/>
      <c r="BH94" s="328"/>
      <c r="BI94" s="328"/>
      <c r="BJ94" s="328"/>
      <c r="BK94" s="328"/>
      <c r="BL94" s="328"/>
    </row>
    <row r="95" spans="1:64" s="11" customFormat="1" x14ac:dyDescent="0.25">
      <c r="A95" s="302"/>
      <c r="B95" s="372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  <c r="AA95" s="13"/>
      <c r="AB95" s="13"/>
      <c r="AC95" s="13"/>
      <c r="AD95" s="13"/>
      <c r="AE95" s="13"/>
      <c r="AF95" s="13"/>
      <c r="AG95" s="6"/>
      <c r="AH95" s="6"/>
      <c r="AI95" s="328"/>
      <c r="AJ95" s="6"/>
      <c r="AK95" s="328"/>
      <c r="AL95" s="328"/>
      <c r="AM95" s="328"/>
      <c r="AN95" s="328"/>
      <c r="AO95" s="328"/>
      <c r="AP95" s="328"/>
      <c r="AQ95" s="328"/>
      <c r="AR95" s="328"/>
      <c r="AS95" s="328"/>
      <c r="AT95" s="328"/>
      <c r="AU95" s="328"/>
      <c r="AV95" s="328"/>
      <c r="AW95" s="328"/>
      <c r="AX95" s="328"/>
      <c r="AY95" s="12"/>
      <c r="AZ95" s="328"/>
      <c r="BA95" s="328"/>
      <c r="BB95" s="328"/>
      <c r="BC95" s="328"/>
      <c r="BD95" s="328"/>
      <c r="BE95" s="328"/>
      <c r="BF95" s="328"/>
      <c r="BG95" s="328"/>
      <c r="BH95" s="328"/>
      <c r="BI95" s="328"/>
      <c r="BJ95" s="328"/>
      <c r="BK95" s="328"/>
      <c r="BL95" s="328"/>
    </row>
    <row r="96" spans="1:64" s="11" customFormat="1" x14ac:dyDescent="0.25">
      <c r="A96" s="302"/>
      <c r="B96" s="372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  <c r="AA96" s="13"/>
      <c r="AB96" s="13"/>
      <c r="AC96" s="13"/>
      <c r="AD96" s="13"/>
      <c r="AE96" s="13"/>
      <c r="AF96" s="13"/>
      <c r="AG96" s="6"/>
      <c r="AH96" s="6"/>
      <c r="AI96" s="328"/>
      <c r="AJ96" s="6"/>
      <c r="AK96" s="328"/>
      <c r="AL96" s="328"/>
      <c r="AM96" s="328"/>
      <c r="AN96" s="328"/>
      <c r="AO96" s="328"/>
      <c r="AP96" s="328"/>
      <c r="AQ96" s="328"/>
      <c r="AR96" s="328"/>
      <c r="AS96" s="328"/>
      <c r="AT96" s="328"/>
      <c r="AU96" s="328"/>
      <c r="AV96" s="328"/>
      <c r="AW96" s="328"/>
      <c r="AX96" s="328"/>
      <c r="AY96" s="328"/>
      <c r="AZ96" s="328"/>
      <c r="BA96" s="328"/>
      <c r="BB96" s="328"/>
      <c r="BC96" s="328"/>
      <c r="BD96" s="328"/>
      <c r="BE96" s="328"/>
      <c r="BF96" s="328"/>
      <c r="BG96" s="328"/>
      <c r="BH96" s="328"/>
      <c r="BI96" s="328"/>
      <c r="BJ96" s="328"/>
      <c r="BK96" s="328"/>
      <c r="BL96" s="328"/>
    </row>
    <row r="97" spans="1:64" s="11" customFormat="1" x14ac:dyDescent="0.25">
      <c r="A97" s="302"/>
      <c r="B97" s="372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13"/>
      <c r="V97" s="13"/>
      <c r="W97" s="13"/>
      <c r="X97" s="13"/>
      <c r="Y97" s="13"/>
      <c r="Z97" s="13"/>
      <c r="AA97" s="13"/>
      <c r="AB97" s="13"/>
      <c r="AC97" s="13"/>
      <c r="AD97" s="13"/>
      <c r="AE97" s="13"/>
      <c r="AF97" s="13"/>
      <c r="AG97" s="6"/>
      <c r="AH97" s="6"/>
      <c r="AI97" s="328"/>
      <c r="AJ97" s="6"/>
      <c r="AK97" s="328"/>
      <c r="AL97" s="328"/>
      <c r="AM97" s="328"/>
      <c r="AN97" s="328"/>
      <c r="AO97" s="328"/>
      <c r="AP97" s="328"/>
      <c r="AQ97" s="328"/>
      <c r="AR97" s="328"/>
      <c r="AS97" s="328"/>
      <c r="AT97" s="328"/>
      <c r="AU97" s="328"/>
      <c r="AV97" s="328"/>
      <c r="AW97" s="328"/>
      <c r="AX97" s="328"/>
      <c r="AY97" s="328"/>
      <c r="AZ97" s="328"/>
      <c r="BA97" s="328"/>
      <c r="BB97" s="328"/>
      <c r="BC97" s="328"/>
      <c r="BD97" s="328"/>
      <c r="BE97" s="328"/>
      <c r="BF97" s="328"/>
      <c r="BG97" s="328"/>
      <c r="BH97" s="328"/>
      <c r="BI97" s="328"/>
      <c r="BJ97" s="328"/>
      <c r="BK97" s="328"/>
      <c r="BL97" s="328"/>
    </row>
    <row r="98" spans="1:64" s="11" customFormat="1" x14ac:dyDescent="0.25">
      <c r="A98" s="302"/>
      <c r="B98" s="37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A98" s="12"/>
      <c r="AB98" s="12"/>
      <c r="AC98" s="12"/>
      <c r="AD98" s="12"/>
      <c r="AE98" s="12"/>
      <c r="AF98" s="12"/>
      <c r="AG98" s="6"/>
      <c r="AH98" s="6"/>
      <c r="AI98" s="12"/>
      <c r="AJ98" s="6"/>
      <c r="AK98" s="12"/>
      <c r="AL98" s="12"/>
      <c r="AM98" s="12"/>
      <c r="AN98" s="12"/>
      <c r="AO98" s="12"/>
      <c r="AP98" s="12"/>
      <c r="AQ98" s="12"/>
      <c r="AR98" s="12"/>
      <c r="AS98" s="12"/>
      <c r="AT98" s="12"/>
      <c r="AU98" s="12"/>
      <c r="AV98" s="12"/>
      <c r="AW98" s="12"/>
      <c r="AX98" s="12"/>
      <c r="AY98" s="12"/>
      <c r="AZ98" s="12"/>
      <c r="BA98" s="12"/>
      <c r="BB98" s="12"/>
      <c r="BC98" s="12"/>
      <c r="BD98" s="12"/>
      <c r="BE98" s="12"/>
      <c r="BF98" s="12"/>
      <c r="BG98" s="12"/>
      <c r="BH98" s="12"/>
      <c r="BI98" s="12"/>
      <c r="BJ98" s="12"/>
      <c r="BK98" s="12"/>
      <c r="BL98" s="12"/>
    </row>
  </sheetData>
  <pageMargins left="0.2" right="0.2" top="0.5" bottom="0.5" header="0.05" footer="0.05"/>
  <pageSetup scale="66" fitToWidth="0" orientation="landscape" r:id="rId1"/>
  <customProperties>
    <customPr name="EpmWorksheetKeyString_GUI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zoomScaleNormal="100" workbookViewId="0">
      <selection activeCell="B41" sqref="B41"/>
    </sheetView>
  </sheetViews>
  <sheetFormatPr defaultColWidth="9.109375" defaultRowHeight="13.2" x14ac:dyDescent="0.25"/>
  <cols>
    <col min="1" max="1" width="9.33203125" style="6" bestFit="1" customWidth="1"/>
    <col min="2" max="2" width="41.6640625" style="6" bestFit="1" customWidth="1"/>
    <col min="3" max="3" width="11.6640625" style="6" bestFit="1" customWidth="1"/>
    <col min="4" max="4" width="6.44140625" style="6" bestFit="1" customWidth="1"/>
    <col min="5" max="5" width="10.5546875" style="6" bestFit="1" customWidth="1"/>
    <col min="6" max="16384" width="9.109375" style="6"/>
  </cols>
  <sheetData>
    <row r="1" spans="1:5" ht="13.8" x14ac:dyDescent="0.25">
      <c r="C1" s="25" t="s">
        <v>568</v>
      </c>
      <c r="D1" s="26"/>
      <c r="E1" s="27"/>
    </row>
    <row r="2" spans="1:5" x14ac:dyDescent="0.25">
      <c r="A2" s="183" t="s">
        <v>45</v>
      </c>
      <c r="B2" s="183"/>
      <c r="C2" s="183"/>
      <c r="D2" s="183"/>
      <c r="E2" s="183"/>
    </row>
    <row r="3" spans="1:5" x14ac:dyDescent="0.25">
      <c r="A3" s="183" t="s">
        <v>72</v>
      </c>
      <c r="B3" s="183"/>
      <c r="C3" s="183"/>
      <c r="D3" s="183"/>
      <c r="E3" s="183"/>
    </row>
    <row r="4" spans="1:5" x14ac:dyDescent="0.25">
      <c r="A4" s="183" t="str">
        <f>CASE_E</f>
        <v>2019 GENERAL RATE CASE</v>
      </c>
      <c r="B4" s="183"/>
      <c r="C4" s="183"/>
      <c r="D4" s="183"/>
      <c r="E4" s="183"/>
    </row>
    <row r="5" spans="1:5" x14ac:dyDescent="0.25">
      <c r="A5" s="183" t="str">
        <f>TESTYEAR_E</f>
        <v>12 MONTHS ENDED DECEMBER 31, 2018</v>
      </c>
      <c r="B5" s="183"/>
      <c r="C5" s="183"/>
      <c r="D5" s="183"/>
      <c r="E5" s="183"/>
    </row>
    <row r="6" spans="1:5" x14ac:dyDescent="0.25">
      <c r="A6" s="183" t="s">
        <v>491</v>
      </c>
      <c r="B6" s="183"/>
      <c r="C6" s="183"/>
      <c r="D6" s="183"/>
      <c r="E6" s="183"/>
    </row>
    <row r="7" spans="1:5" x14ac:dyDescent="0.25">
      <c r="B7" s="2"/>
      <c r="C7" s="2"/>
      <c r="D7" s="2"/>
      <c r="E7" s="2"/>
    </row>
    <row r="9" spans="1:5" x14ac:dyDescent="0.25">
      <c r="A9" s="289" t="s">
        <v>43</v>
      </c>
      <c r="B9" s="289"/>
      <c r="C9" s="16" t="s">
        <v>350</v>
      </c>
      <c r="E9" s="16" t="s">
        <v>352</v>
      </c>
    </row>
    <row r="10" spans="1:5" x14ac:dyDescent="0.25">
      <c r="A10" s="292" t="s">
        <v>44</v>
      </c>
      <c r="B10" s="292" t="s">
        <v>73</v>
      </c>
      <c r="C10" s="36" t="s">
        <v>351</v>
      </c>
      <c r="D10" s="36" t="s">
        <v>336</v>
      </c>
      <c r="E10" s="36" t="s">
        <v>336</v>
      </c>
    </row>
    <row r="12" spans="1:5" x14ac:dyDescent="0.25">
      <c r="A12" s="266">
        <v>1</v>
      </c>
      <c r="B12" s="1" t="s">
        <v>204</v>
      </c>
      <c r="C12" s="4">
        <v>0.51</v>
      </c>
      <c r="D12" s="4">
        <v>5.7647058823529412E-2</v>
      </c>
      <c r="E12" s="4">
        <f>ROUND(C12*D12,4)</f>
        <v>2.9399999999999999E-2</v>
      </c>
    </row>
    <row r="13" spans="1:5" x14ac:dyDescent="0.25">
      <c r="A13" s="266">
        <f t="shared" ref="A13:A18" si="0">A12+1</f>
        <v>2</v>
      </c>
      <c r="B13" s="1" t="s">
        <v>80</v>
      </c>
      <c r="C13" s="4">
        <v>0.49</v>
      </c>
      <c r="D13" s="4">
        <v>9.5000000000000001E-2</v>
      </c>
      <c r="E13" s="4">
        <f>ROUND(C13*D13,4)</f>
        <v>4.6600000000000003E-2</v>
      </c>
    </row>
    <row r="14" spans="1:5" x14ac:dyDescent="0.25">
      <c r="A14" s="266">
        <f t="shared" si="0"/>
        <v>3</v>
      </c>
      <c r="B14" s="1" t="s">
        <v>66</v>
      </c>
      <c r="C14" s="28">
        <f>SUM(C12:C13)</f>
        <v>1</v>
      </c>
      <c r="D14" s="10"/>
      <c r="E14" s="211">
        <f>SUM(E12:E13)</f>
        <v>7.5999999999999998E-2</v>
      </c>
    </row>
    <row r="15" spans="1:5" x14ac:dyDescent="0.25">
      <c r="A15" s="266">
        <f t="shared" si="0"/>
        <v>4</v>
      </c>
      <c r="B15" s="1"/>
    </row>
    <row r="16" spans="1:5" x14ac:dyDescent="0.25">
      <c r="A16" s="266">
        <f t="shared" si="0"/>
        <v>5</v>
      </c>
      <c r="B16" s="1" t="s">
        <v>348</v>
      </c>
      <c r="C16" s="4">
        <f>+C12</f>
        <v>0.51</v>
      </c>
      <c r="D16" s="4">
        <f>D12*0.79</f>
        <v>4.5541176470588238E-2</v>
      </c>
      <c r="E16" s="4">
        <f>ROUND(E12*0.79,4)</f>
        <v>2.3199999999999998E-2</v>
      </c>
    </row>
    <row r="17" spans="1:5" x14ac:dyDescent="0.25">
      <c r="A17" s="266">
        <f t="shared" si="0"/>
        <v>6</v>
      </c>
      <c r="B17" s="1" t="s">
        <v>80</v>
      </c>
      <c r="C17" s="4">
        <f>+C13</f>
        <v>0.49</v>
      </c>
      <c r="D17" s="4">
        <f>+D13</f>
        <v>9.5000000000000001E-2</v>
      </c>
      <c r="E17" s="4">
        <f>ROUND(C17*D17,4)</f>
        <v>4.6600000000000003E-2</v>
      </c>
    </row>
    <row r="18" spans="1:5" x14ac:dyDescent="0.25">
      <c r="A18" s="266">
        <f t="shared" si="0"/>
        <v>7</v>
      </c>
      <c r="B18" s="1" t="s">
        <v>81</v>
      </c>
      <c r="C18" s="28">
        <f>SUM(C16:C17)</f>
        <v>1</v>
      </c>
      <c r="D18" s="10"/>
      <c r="E18" s="211">
        <f>SUM(E16:E17)</f>
        <v>6.9800000000000001E-2</v>
      </c>
    </row>
  </sheetData>
  <pageMargins left="0.7" right="0.7" top="0.75" bottom="0.75" header="0.3" footer="0.3"/>
  <customProperties>
    <customPr name="EpmWorksheetKeyString_GUID" r:id="rId1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H136"/>
  <sheetViews>
    <sheetView zoomScale="85" zoomScaleNormal="85" workbookViewId="0">
      <pane xSplit="1" ySplit="1" topLeftCell="B20" activePane="bottomRight" state="frozen"/>
      <selection activeCell="B41" sqref="B41"/>
      <selection pane="topRight" activeCell="B41" sqref="B41"/>
      <selection pane="bottomLeft" activeCell="B41" sqref="B41"/>
      <selection pane="bottomRight" activeCell="J28" sqref="J28"/>
    </sheetView>
  </sheetViews>
  <sheetFormatPr defaultColWidth="9.109375" defaultRowHeight="13.2" x14ac:dyDescent="0.25"/>
  <cols>
    <col min="1" max="1" width="5.44140625" style="6" bestFit="1" customWidth="1"/>
    <col min="2" max="2" width="66.109375" style="6" bestFit="1" customWidth="1"/>
    <col min="3" max="3" width="10.88671875" style="6" customWidth="1"/>
    <col min="4" max="4" width="12.5546875" style="6" customWidth="1"/>
    <col min="5" max="5" width="13" style="6" customWidth="1"/>
    <col min="6" max="6" width="13.88671875" style="6" customWidth="1"/>
    <col min="7" max="7" width="14.109375" style="6" customWidth="1"/>
    <col min="8" max="8" width="13.88671875" style="6" customWidth="1"/>
    <col min="9" max="9" width="5.44140625" style="6" bestFit="1" customWidth="1"/>
    <col min="10" max="10" width="55.44140625" style="6" customWidth="1"/>
    <col min="11" max="11" width="11.33203125" style="6" customWidth="1"/>
    <col min="12" max="13" width="15.33203125" style="6" bestFit="1" customWidth="1"/>
    <col min="14" max="14" width="13.5546875" style="6" bestFit="1" customWidth="1"/>
    <col min="15" max="15" width="15.33203125" style="6" bestFit="1" customWidth="1"/>
    <col min="16" max="16" width="15.44140625" style="6" bestFit="1" customWidth="1"/>
    <col min="17" max="17" width="5.44140625" style="6" bestFit="1" customWidth="1"/>
    <col min="18" max="18" width="39.5546875" style="6" customWidth="1"/>
    <col min="19" max="19" width="4.5546875" style="6" bestFit="1" customWidth="1"/>
    <col min="20" max="22" width="17.5546875" style="6" customWidth="1"/>
    <col min="23" max="23" width="18.6640625" style="6" customWidth="1"/>
    <col min="24" max="24" width="16.33203125" style="6" customWidth="1"/>
    <col min="25" max="25" width="5.44140625" style="6" bestFit="1" customWidth="1"/>
    <col min="26" max="26" width="37.88671875" style="6" customWidth="1"/>
    <col min="27" max="27" width="4.6640625" style="6" bestFit="1" customWidth="1"/>
    <col min="28" max="32" width="18.5546875" style="6" customWidth="1"/>
    <col min="33" max="33" width="9.109375" style="6"/>
    <col min="34" max="34" width="66" style="6" customWidth="1"/>
    <col min="35" max="35" width="9" style="6" customWidth="1"/>
    <col min="36" max="36" width="13.6640625" style="6" bestFit="1" customWidth="1"/>
    <col min="37" max="37" width="13.33203125" style="6" customWidth="1"/>
    <col min="38" max="38" width="14.44140625" style="6" bestFit="1" customWidth="1"/>
    <col min="39" max="39" width="14" style="6" customWidth="1"/>
    <col min="40" max="40" width="16.33203125" style="6" bestFit="1" customWidth="1"/>
    <col min="41" max="41" width="9.109375" style="6"/>
    <col min="42" max="42" width="62.109375" style="6" customWidth="1"/>
    <col min="43" max="43" width="4.5546875" style="6" bestFit="1" customWidth="1"/>
    <col min="44" max="45" width="16" style="6" customWidth="1"/>
    <col min="46" max="46" width="13.5546875" style="6" bestFit="1" customWidth="1"/>
    <col min="47" max="47" width="12.109375" style="6" bestFit="1" customWidth="1"/>
    <col min="48" max="48" width="13.109375" style="6" bestFit="1" customWidth="1"/>
    <col min="49" max="49" width="5.44140625" style="6" bestFit="1" customWidth="1"/>
    <col min="50" max="50" width="66.109375" style="6" bestFit="1" customWidth="1"/>
    <col min="51" max="51" width="7.88671875" style="6" bestFit="1" customWidth="1"/>
    <col min="52" max="53" width="14.6640625" style="6" bestFit="1" customWidth="1"/>
    <col min="54" max="54" width="16.109375" style="6" bestFit="1" customWidth="1"/>
    <col min="55" max="55" width="14.6640625" style="6" bestFit="1" customWidth="1"/>
    <col min="56" max="56" width="14.88671875" style="6" bestFit="1" customWidth="1"/>
    <col min="57" max="57" width="5.44140625" style="6" bestFit="1" customWidth="1"/>
    <col min="58" max="58" width="41.109375" style="6" bestFit="1" customWidth="1"/>
    <col min="59" max="59" width="4.33203125" style="6" customWidth="1"/>
    <col min="60" max="60" width="16.109375" style="6" customWidth="1"/>
    <col min="61" max="61" width="16.6640625" style="6" customWidth="1"/>
    <col min="62" max="62" width="17.6640625" style="6" customWidth="1"/>
    <col min="63" max="63" width="17.109375" style="6" customWidth="1"/>
    <col min="64" max="64" width="14.88671875" style="6" customWidth="1"/>
    <col min="65" max="65" width="9.109375" style="6"/>
    <col min="66" max="66" width="54.6640625" style="6" customWidth="1"/>
    <col min="67" max="67" width="7.109375" style="6" customWidth="1"/>
    <col min="68" max="72" width="16.44140625" style="6" customWidth="1"/>
    <col min="73" max="73" width="5.44140625" style="6" bestFit="1" customWidth="1"/>
    <col min="74" max="74" width="50.33203125" style="6" bestFit="1" customWidth="1"/>
    <col min="75" max="75" width="6" style="6" customWidth="1"/>
    <col min="76" max="80" width="17.5546875" style="6" customWidth="1"/>
    <col min="81" max="81" width="5.44140625" style="6" bestFit="1" customWidth="1"/>
    <col min="82" max="82" width="49.5546875" style="6" bestFit="1" customWidth="1"/>
    <col min="83" max="83" width="9.6640625" style="6" customWidth="1"/>
    <col min="84" max="84" width="16.44140625" style="6" customWidth="1"/>
    <col min="85" max="85" width="17.44140625" style="6" customWidth="1"/>
    <col min="86" max="86" width="16.44140625" style="6" customWidth="1"/>
    <col min="87" max="87" width="12.44140625" style="6" customWidth="1"/>
    <col min="88" max="88" width="14.88671875" style="6" customWidth="1"/>
    <col min="89" max="89" width="5.44140625" style="6" bestFit="1" customWidth="1"/>
    <col min="90" max="90" width="55.44140625" style="6" customWidth="1"/>
    <col min="91" max="91" width="6.88671875" style="6" customWidth="1"/>
    <col min="92" max="93" width="12" style="6" customWidth="1"/>
    <col min="94" max="94" width="13.5546875" style="6" bestFit="1" customWidth="1"/>
    <col min="95" max="96" width="12" style="6" customWidth="1"/>
    <col min="97" max="97" width="9.109375" style="6"/>
    <col min="98" max="98" width="46.33203125" style="6" bestFit="1" customWidth="1"/>
    <col min="99" max="99" width="12.109375" style="6" customWidth="1"/>
    <col min="100" max="104" width="14.5546875" style="6" customWidth="1"/>
    <col min="105" max="105" width="5.44140625" style="6" bestFit="1" customWidth="1"/>
    <col min="106" max="106" width="38.109375" style="6" customWidth="1"/>
    <col min="107" max="107" width="8.44140625" style="6" customWidth="1"/>
    <col min="108" max="108" width="17.33203125" style="6" customWidth="1"/>
    <col min="109" max="109" width="18.6640625" style="6" customWidth="1"/>
    <col min="110" max="110" width="18.44140625" style="6" customWidth="1"/>
    <col min="111" max="111" width="17" style="6" customWidth="1"/>
    <col min="112" max="112" width="18.6640625" style="6" customWidth="1"/>
    <col min="113" max="113" width="5" style="6" bestFit="1" customWidth="1"/>
    <col min="114" max="114" width="33.5546875" style="6" customWidth="1"/>
    <col min="115" max="115" width="9.88671875" style="6" customWidth="1"/>
    <col min="116" max="116" width="17.88671875" style="6" customWidth="1"/>
    <col min="117" max="117" width="18.6640625" style="6" customWidth="1"/>
    <col min="118" max="118" width="15.33203125" style="6" customWidth="1"/>
    <col min="119" max="119" width="14" style="6" bestFit="1" customWidth="1"/>
    <col min="120" max="120" width="18.33203125" style="6" customWidth="1"/>
    <col min="121" max="121" width="9.109375" style="6"/>
    <col min="122" max="122" width="42.33203125" style="6" customWidth="1"/>
    <col min="123" max="123" width="11.33203125" style="6" customWidth="1"/>
    <col min="124" max="124" width="13.109375" style="6" bestFit="1" customWidth="1"/>
    <col min="125" max="125" width="12.88671875" style="6" bestFit="1" customWidth="1"/>
    <col min="126" max="126" width="15" style="6" bestFit="1" customWidth="1"/>
    <col min="127" max="127" width="13.33203125" style="6" bestFit="1" customWidth="1"/>
    <col min="128" max="128" width="15" style="6" bestFit="1" customWidth="1"/>
    <col min="129" max="129" width="9.109375" style="6"/>
    <col min="130" max="130" width="48.44140625" style="6" customWidth="1"/>
    <col min="131" max="131" width="7.109375" style="6" customWidth="1"/>
    <col min="132" max="132" width="16" style="6" customWidth="1"/>
    <col min="133" max="133" width="13.88671875" style="6" customWidth="1"/>
    <col min="134" max="134" width="15.5546875" style="6" customWidth="1"/>
    <col min="135" max="135" width="13.33203125" style="6" customWidth="1"/>
    <col min="136" max="136" width="15.109375" style="6" customWidth="1"/>
    <col min="137" max="137" width="5.5546875" style="6" bestFit="1" customWidth="1"/>
    <col min="138" max="138" width="41.5546875" style="6" customWidth="1"/>
    <col min="139" max="139" width="4.33203125" style="6" customWidth="1"/>
    <col min="140" max="143" width="19.109375" style="6" customWidth="1"/>
    <col min="144" max="144" width="14.5546875" style="6" bestFit="1" customWidth="1"/>
    <col min="145" max="145" width="5.5546875" style="6" bestFit="1" customWidth="1"/>
    <col min="146" max="146" width="58.88671875" style="6" customWidth="1"/>
    <col min="147" max="147" width="6.5546875" style="6" customWidth="1"/>
    <col min="148" max="151" width="16.88671875" style="6" customWidth="1"/>
    <col min="152" max="152" width="13.44140625" style="6" bestFit="1" customWidth="1"/>
    <col min="153" max="153" width="9.109375" style="6"/>
    <col min="154" max="154" width="51.6640625" style="6" customWidth="1"/>
    <col min="155" max="155" width="4.5546875" style="6" bestFit="1" customWidth="1"/>
    <col min="156" max="157" width="16.109375" style="6" bestFit="1" customWidth="1"/>
    <col min="158" max="158" width="14.109375" style="6" customWidth="1"/>
    <col min="159" max="159" width="16.5546875" style="6" customWidth="1"/>
    <col min="160" max="160" width="16.6640625" style="6" bestFit="1" customWidth="1"/>
    <col min="161" max="161" width="5.44140625" style="6" bestFit="1" customWidth="1"/>
    <col min="162" max="162" width="87.33203125" style="6" customWidth="1"/>
    <col min="163" max="163" width="7.6640625" style="6" customWidth="1"/>
    <col min="164" max="164" width="14.109375" style="6" bestFit="1" customWidth="1"/>
    <col min="165" max="165" width="12.88671875" style="6" bestFit="1" customWidth="1"/>
    <col min="166" max="166" width="14.109375" style="6" bestFit="1" customWidth="1"/>
    <col min="167" max="167" width="12.88671875" style="6" bestFit="1" customWidth="1"/>
    <col min="168" max="168" width="14.109375" style="6" customWidth="1"/>
    <col min="169" max="169" width="9.5546875" style="6" customWidth="1"/>
    <col min="170" max="170" width="65.44140625" style="6" customWidth="1"/>
    <col min="171" max="171" width="8" style="6" customWidth="1"/>
    <col min="172" max="172" width="9.44140625" style="6" customWidth="1"/>
    <col min="173" max="173" width="11.109375" style="6" bestFit="1" customWidth="1"/>
    <col min="174" max="176" width="14.109375" style="6" customWidth="1"/>
    <col min="177" max="177" width="8.109375" style="6" customWidth="1"/>
    <col min="178" max="178" width="51.6640625" style="6" bestFit="1" customWidth="1"/>
    <col min="179" max="179" width="6.6640625" style="6" customWidth="1"/>
    <col min="180" max="180" width="13.6640625" style="6" customWidth="1"/>
    <col min="181" max="181" width="15.33203125" style="6" customWidth="1"/>
    <col min="182" max="182" width="14.6640625" style="6" customWidth="1"/>
    <col min="183" max="183" width="14" style="6" customWidth="1"/>
    <col min="184" max="184" width="16" style="6" customWidth="1"/>
    <col min="185" max="185" width="5.44140625" style="6" bestFit="1" customWidth="1"/>
    <col min="186" max="186" width="52.44140625" style="6" bestFit="1" customWidth="1"/>
    <col min="187" max="187" width="7" style="6" bestFit="1" customWidth="1"/>
    <col min="188" max="192" width="16" style="6" customWidth="1"/>
    <col min="193" max="193" width="8.109375" style="6" customWidth="1"/>
    <col min="194" max="194" width="48.88671875" style="6" customWidth="1"/>
    <col min="195" max="195" width="5.33203125" style="6" customWidth="1"/>
    <col min="196" max="196" width="18.33203125" style="6" customWidth="1"/>
    <col min="197" max="197" width="18.44140625" style="6" customWidth="1"/>
    <col min="198" max="198" width="14.6640625" style="6" customWidth="1"/>
    <col min="199" max="199" width="19.88671875" style="6" customWidth="1"/>
    <col min="200" max="200" width="16" style="6" customWidth="1"/>
    <col min="201" max="201" width="5.44140625" style="6" bestFit="1" customWidth="1"/>
    <col min="202" max="202" width="43.109375" style="6" bestFit="1" customWidth="1"/>
    <col min="203" max="203" width="9.109375" style="6"/>
    <col min="204" max="204" width="15.33203125" style="6" customWidth="1"/>
    <col min="205" max="205" width="19.44140625" style="6" customWidth="1"/>
    <col min="206" max="206" width="14.109375" style="6" bestFit="1" customWidth="1"/>
    <col min="207" max="207" width="14.88671875" style="6" customWidth="1"/>
    <col min="208" max="208" width="17.109375" style="6" customWidth="1"/>
    <col min="209" max="209" width="5.44140625" style="6" bestFit="1" customWidth="1"/>
    <col min="210" max="210" width="41.44140625" style="6" bestFit="1" customWidth="1"/>
    <col min="211" max="211" width="4.5546875" style="6" bestFit="1" customWidth="1"/>
    <col min="212" max="212" width="8.6640625" style="6" bestFit="1" customWidth="1"/>
    <col min="213" max="213" width="10.88671875" style="6" bestFit="1" customWidth="1"/>
    <col min="214" max="214" width="13.6640625" style="6" bestFit="1" customWidth="1"/>
    <col min="215" max="215" width="12.5546875" style="6" bestFit="1" customWidth="1"/>
    <col min="216" max="216" width="14.33203125" style="6" bestFit="1" customWidth="1"/>
    <col min="217" max="217" width="5.44140625" style="6" bestFit="1" customWidth="1"/>
    <col min="218" max="218" width="37.6640625" style="6" customWidth="1"/>
    <col min="219" max="219" width="9.109375" style="6"/>
    <col min="220" max="221" width="12.88671875" style="6" bestFit="1" customWidth="1"/>
    <col min="222" max="222" width="14.109375" style="6" bestFit="1" customWidth="1"/>
    <col min="223" max="223" width="13.44140625" style="6" bestFit="1" customWidth="1"/>
    <col min="224" max="224" width="13.33203125" style="6" bestFit="1" customWidth="1"/>
    <col min="225" max="225" width="5.44140625" style="6" bestFit="1" customWidth="1"/>
    <col min="226" max="226" width="47.88671875" style="6" customWidth="1"/>
    <col min="227" max="227" width="9.109375" style="6"/>
    <col min="228" max="228" width="12.6640625" style="6" customWidth="1"/>
    <col min="229" max="229" width="12" style="6" customWidth="1"/>
    <col min="230" max="230" width="15.109375" style="6" customWidth="1"/>
    <col min="231" max="231" width="12.88671875" style="6" bestFit="1" customWidth="1"/>
    <col min="232" max="232" width="13.33203125" style="6" bestFit="1" customWidth="1"/>
    <col min="233" max="233" width="9.109375" style="6"/>
    <col min="234" max="234" width="41.6640625" style="6" bestFit="1" customWidth="1"/>
    <col min="235" max="235" width="9.109375" style="6"/>
    <col min="236" max="236" width="18.109375" style="6" customWidth="1"/>
    <col min="237" max="237" width="9.109375" style="6"/>
    <col min="238" max="238" width="25.88671875" style="6" customWidth="1"/>
    <col min="239" max="239" width="12" style="6" bestFit="1" customWidth="1"/>
    <col min="240" max="240" width="22.88671875" style="6" bestFit="1" customWidth="1"/>
    <col min="241" max="16384" width="9.109375" style="6"/>
  </cols>
  <sheetData>
    <row r="1" spans="1:240" s="156" customFormat="1" ht="15" thickBot="1" x14ac:dyDescent="0.35"/>
    <row r="2" spans="1:240" x14ac:dyDescent="0.25">
      <c r="G2" s="21"/>
      <c r="H2" s="272" t="str">
        <f>DOCKETNUMBER_E</f>
        <v>UE-__________</v>
      </c>
      <c r="O2" s="21"/>
      <c r="P2" s="272" t="str">
        <f>DOCKETNUMBER_E</f>
        <v>UE-__________</v>
      </c>
      <c r="W2" s="21"/>
      <c r="X2" s="272" t="str">
        <f>DOCKETNUMBER_E</f>
        <v>UE-__________</v>
      </c>
      <c r="AE2" s="21"/>
      <c r="AF2" s="272" t="str">
        <f>DOCKETNUMBER_E</f>
        <v>UE-__________</v>
      </c>
      <c r="AM2" s="21"/>
      <c r="AN2" s="272" t="str">
        <f>DOCKETNUMBER_E</f>
        <v>UE-__________</v>
      </c>
      <c r="AU2" s="21"/>
      <c r="AV2" s="272" t="str">
        <f>DOCKETNUMBER_E</f>
        <v>UE-__________</v>
      </c>
      <c r="BC2" s="21"/>
      <c r="BD2" s="272" t="str">
        <f>DOCKETNUMBER_E</f>
        <v>UE-__________</v>
      </c>
      <c r="BK2" s="21"/>
      <c r="BL2" s="272" t="str">
        <f>DOCKETNUMBER_E</f>
        <v>UE-__________</v>
      </c>
      <c r="BS2" s="21"/>
      <c r="BT2" s="272" t="str">
        <f>DOCKETNUMBER_E</f>
        <v>UE-__________</v>
      </c>
      <c r="CA2" s="21"/>
      <c r="CB2" s="272" t="str">
        <f>DOCKETNUMBER_E</f>
        <v>UE-__________</v>
      </c>
      <c r="CI2" s="21"/>
      <c r="CJ2" s="272" t="str">
        <f>DOCKETNUMBER_E</f>
        <v>UE-__________</v>
      </c>
      <c r="CQ2" s="21"/>
      <c r="CR2" s="272" t="str">
        <f>DOCKETNUMBER_E</f>
        <v>UE-__________</v>
      </c>
      <c r="CY2" s="21"/>
      <c r="CZ2" s="272" t="str">
        <f>DOCKETNUMBER_E</f>
        <v>UE-__________</v>
      </c>
      <c r="DG2" s="21"/>
      <c r="DH2" s="272" t="str">
        <f>DOCKETNUMBER_E</f>
        <v>UE-__________</v>
      </c>
      <c r="DO2" s="21"/>
      <c r="DP2" s="272" t="str">
        <f>DOCKETNUMBER_E</f>
        <v>UE-__________</v>
      </c>
      <c r="DW2" s="21"/>
      <c r="DX2" s="272" t="str">
        <f>DOCKETNUMBER_E</f>
        <v>UE-__________</v>
      </c>
      <c r="EE2" s="21"/>
      <c r="EF2" s="272" t="str">
        <f>DOCKETNUMBER_E</f>
        <v>UE-__________</v>
      </c>
      <c r="EM2" s="21"/>
      <c r="EN2" s="272" t="str">
        <f>DOCKETNUMBER_E</f>
        <v>UE-__________</v>
      </c>
      <c r="EU2" s="21"/>
      <c r="EV2" s="272" t="str">
        <f>DOCKETNUMBER_E</f>
        <v>UE-__________</v>
      </c>
      <c r="FC2" s="21"/>
      <c r="FD2" s="272" t="str">
        <f>DOCKETNUMBER_E</f>
        <v>UE-__________</v>
      </c>
      <c r="FK2" s="21"/>
      <c r="FL2" s="272" t="str">
        <f>DOCKETNUMBER_E</f>
        <v>UE-__________</v>
      </c>
      <c r="FS2" s="21"/>
      <c r="FT2" s="272" t="str">
        <f>DOCKETNUMBER_E</f>
        <v>UE-__________</v>
      </c>
      <c r="GA2" s="21"/>
      <c r="GB2" s="272" t="str">
        <f>DOCKETNUMBER_E</f>
        <v>UE-__________</v>
      </c>
      <c r="GI2" s="21"/>
      <c r="GJ2" s="272" t="str">
        <f>DOCKETNUMBER_E</f>
        <v>UE-__________</v>
      </c>
      <c r="GQ2" s="21"/>
      <c r="GR2" s="272" t="str">
        <f>DOCKETNUMBER_E</f>
        <v>UE-__________</v>
      </c>
      <c r="GY2" s="21"/>
      <c r="GZ2" s="272" t="str">
        <f>DOCKETNUMBER_E</f>
        <v>UE-__________</v>
      </c>
      <c r="HG2" s="21"/>
      <c r="HH2" s="272" t="str">
        <f>DOCKETNUMBER_E</f>
        <v>UE-__________</v>
      </c>
      <c r="HO2" s="21"/>
      <c r="HP2" s="272" t="str">
        <f>DOCKETNUMBER_E</f>
        <v>UE-__________</v>
      </c>
      <c r="HW2" s="21"/>
      <c r="HX2" s="272" t="str">
        <f>DOCKETNUMBER_E</f>
        <v>UE-__________</v>
      </c>
      <c r="IE2" s="21"/>
      <c r="IF2" s="272" t="str">
        <f>DOCKETNUMBER_E</f>
        <v>UE-__________</v>
      </c>
    </row>
    <row r="3" spans="1:240" ht="13.8" thickBot="1" x14ac:dyDescent="0.3">
      <c r="G3" s="22"/>
      <c r="H3" s="273" t="s">
        <v>813</v>
      </c>
      <c r="O3" s="22"/>
      <c r="P3" s="273" t="s">
        <v>814</v>
      </c>
      <c r="W3" s="22"/>
      <c r="X3" s="273" t="s">
        <v>815</v>
      </c>
      <c r="AE3" s="22"/>
      <c r="AF3" s="273" t="s">
        <v>816</v>
      </c>
      <c r="AK3" s="8"/>
      <c r="AM3" s="22"/>
      <c r="AN3" s="273" t="s">
        <v>817</v>
      </c>
      <c r="AU3" s="22"/>
      <c r="AV3" s="273" t="s">
        <v>818</v>
      </c>
      <c r="BC3" s="22"/>
      <c r="BD3" s="273" t="s">
        <v>819</v>
      </c>
      <c r="BK3" s="22"/>
      <c r="BL3" s="273" t="s">
        <v>820</v>
      </c>
      <c r="BS3" s="22"/>
      <c r="BT3" s="273" t="s">
        <v>821</v>
      </c>
      <c r="CA3" s="22"/>
      <c r="CB3" s="273" t="s">
        <v>822</v>
      </c>
      <c r="CI3" s="22"/>
      <c r="CJ3" s="273" t="s">
        <v>823</v>
      </c>
      <c r="CQ3" s="22"/>
      <c r="CR3" s="273" t="s">
        <v>824</v>
      </c>
      <c r="CY3" s="22"/>
      <c r="CZ3" s="273" t="s">
        <v>825</v>
      </c>
      <c r="DG3" s="22"/>
      <c r="DH3" s="273" t="s">
        <v>826</v>
      </c>
      <c r="DN3" s="274"/>
      <c r="DO3" s="22"/>
      <c r="DP3" s="273" t="s">
        <v>827</v>
      </c>
      <c r="DV3" s="274"/>
      <c r="DW3" s="22"/>
      <c r="DX3" s="273" t="s">
        <v>828</v>
      </c>
      <c r="EE3" s="22"/>
      <c r="EF3" s="273" t="s">
        <v>829</v>
      </c>
      <c r="EM3" s="22"/>
      <c r="EN3" s="273" t="s">
        <v>830</v>
      </c>
      <c r="EU3" s="22"/>
      <c r="EV3" s="273" t="s">
        <v>831</v>
      </c>
      <c r="FC3" s="22"/>
      <c r="FD3" s="273" t="s">
        <v>832</v>
      </c>
      <c r="FK3" s="22"/>
      <c r="FL3" s="273" t="s">
        <v>833</v>
      </c>
      <c r="FS3" s="22"/>
      <c r="FT3" s="273" t="s">
        <v>834</v>
      </c>
      <c r="GA3" s="22"/>
      <c r="GB3" s="273" t="s">
        <v>835</v>
      </c>
      <c r="GI3" s="22"/>
      <c r="GJ3" s="273" t="s">
        <v>836</v>
      </c>
      <c r="GQ3" s="22"/>
      <c r="GR3" s="273" t="s">
        <v>837</v>
      </c>
      <c r="GY3" s="22"/>
      <c r="GZ3" s="273" t="s">
        <v>838</v>
      </c>
      <c r="HG3" s="22"/>
      <c r="HH3" s="273" t="s">
        <v>839</v>
      </c>
      <c r="HO3" s="22"/>
      <c r="HP3" s="273" t="s">
        <v>840</v>
      </c>
      <c r="HW3" s="22"/>
      <c r="HX3" s="273" t="s">
        <v>841</v>
      </c>
      <c r="IE3" s="22"/>
      <c r="IF3" s="273" t="s">
        <v>842</v>
      </c>
    </row>
    <row r="4" spans="1:240" x14ac:dyDescent="0.25">
      <c r="A4" s="389"/>
      <c r="B4" s="389"/>
      <c r="C4" s="389"/>
      <c r="D4" s="389"/>
      <c r="E4" s="389"/>
      <c r="F4" s="389"/>
      <c r="G4" s="390"/>
      <c r="O4" s="390"/>
      <c r="X4" s="390"/>
      <c r="AE4" s="390"/>
      <c r="AM4" s="390"/>
      <c r="AU4" s="390"/>
      <c r="BC4" s="390"/>
      <c r="BK4" s="390"/>
      <c r="BS4" s="390"/>
      <c r="CA4" s="390"/>
      <c r="CI4" s="390"/>
      <c r="CQ4" s="390"/>
      <c r="CY4" s="390"/>
      <c r="DG4" s="390"/>
      <c r="DO4" s="390"/>
      <c r="DV4" s="274"/>
      <c r="DW4" s="390"/>
      <c r="EE4" s="390"/>
      <c r="EM4" s="390"/>
      <c r="EU4" s="390"/>
      <c r="FC4" s="390"/>
      <c r="FK4" s="390"/>
      <c r="FS4" s="390"/>
      <c r="GA4" s="390"/>
      <c r="GI4" s="390"/>
      <c r="GQ4" s="390"/>
      <c r="GY4" s="390"/>
      <c r="HG4" s="390"/>
      <c r="HO4" s="390"/>
      <c r="HW4" s="390"/>
      <c r="IE4" s="390"/>
    </row>
    <row r="5" spans="1:240" s="175" customFormat="1" x14ac:dyDescent="0.25">
      <c r="A5" s="183" t="str">
        <f>Comp_E</f>
        <v>PUGET SOUND ENERGY - ELECTRIC</v>
      </c>
      <c r="B5" s="183"/>
      <c r="C5" s="183"/>
      <c r="D5" s="183"/>
      <c r="E5" s="183"/>
      <c r="F5" s="183"/>
      <c r="G5" s="183"/>
      <c r="H5" s="183"/>
      <c r="I5" s="183" t="str">
        <f>Comp_E</f>
        <v>PUGET SOUND ENERGY - ELECTRIC</v>
      </c>
      <c r="J5" s="183"/>
      <c r="K5" s="183"/>
      <c r="L5" s="183"/>
      <c r="M5" s="183"/>
      <c r="N5" s="183"/>
      <c r="O5" s="183"/>
      <c r="P5" s="183"/>
      <c r="Q5" s="183" t="str">
        <f>Comp_E</f>
        <v>PUGET SOUND ENERGY - ELECTRIC</v>
      </c>
      <c r="R5" s="183"/>
      <c r="S5" s="183"/>
      <c r="T5" s="183"/>
      <c r="U5" s="183"/>
      <c r="V5" s="183"/>
      <c r="W5" s="183"/>
      <c r="X5" s="183"/>
      <c r="Y5" s="183" t="str">
        <f>Comp_E</f>
        <v>PUGET SOUND ENERGY - ELECTRIC</v>
      </c>
      <c r="Z5" s="183"/>
      <c r="AA5" s="183"/>
      <c r="AB5" s="183"/>
      <c r="AC5" s="183"/>
      <c r="AD5" s="183"/>
      <c r="AE5" s="183"/>
      <c r="AF5" s="183"/>
      <c r="AG5" s="183" t="str">
        <f>Comp_E</f>
        <v>PUGET SOUND ENERGY - ELECTRIC</v>
      </c>
      <c r="AH5" s="183"/>
      <c r="AI5" s="183"/>
      <c r="AJ5" s="183"/>
      <c r="AK5" s="183"/>
      <c r="AL5" s="183"/>
      <c r="AM5" s="183"/>
      <c r="AN5" s="183"/>
      <c r="AO5" s="183" t="str">
        <f>Comp_E</f>
        <v>PUGET SOUND ENERGY - ELECTRIC</v>
      </c>
      <c r="AP5" s="183"/>
      <c r="AQ5" s="183"/>
      <c r="AR5" s="183"/>
      <c r="AS5" s="183"/>
      <c r="AT5" s="183"/>
      <c r="AU5" s="183"/>
      <c r="AV5" s="183"/>
      <c r="AW5" s="183" t="str">
        <f>Comp_E</f>
        <v>PUGET SOUND ENERGY - ELECTRIC</v>
      </c>
      <c r="AX5" s="183"/>
      <c r="AY5" s="183"/>
      <c r="AZ5" s="183"/>
      <c r="BA5" s="183"/>
      <c r="BB5" s="183"/>
      <c r="BC5" s="183"/>
      <c r="BD5" s="183"/>
      <c r="BE5" s="183" t="str">
        <f>Comp_E</f>
        <v>PUGET SOUND ENERGY - ELECTRIC</v>
      </c>
      <c r="BF5" s="183"/>
      <c r="BG5" s="183"/>
      <c r="BH5" s="183"/>
      <c r="BI5" s="183"/>
      <c r="BJ5" s="183"/>
      <c r="BK5" s="183"/>
      <c r="BL5" s="183"/>
      <c r="BM5" s="183" t="str">
        <f>Comp_E</f>
        <v>PUGET SOUND ENERGY - ELECTRIC</v>
      </c>
      <c r="BN5" s="183"/>
      <c r="BO5" s="183"/>
      <c r="BP5" s="183"/>
      <c r="BQ5" s="183"/>
      <c r="BR5" s="183"/>
      <c r="BS5" s="183"/>
      <c r="BT5" s="183"/>
      <c r="BU5" s="183" t="str">
        <f>Comp_E</f>
        <v>PUGET SOUND ENERGY - ELECTRIC</v>
      </c>
      <c r="BV5" s="183"/>
      <c r="BW5" s="183"/>
      <c r="BX5" s="183"/>
      <c r="BY5" s="183"/>
      <c r="BZ5" s="183"/>
      <c r="CA5" s="183"/>
      <c r="CB5" s="183"/>
      <c r="CC5" s="183" t="str">
        <f>Comp_E</f>
        <v>PUGET SOUND ENERGY - ELECTRIC</v>
      </c>
      <c r="CD5" s="183"/>
      <c r="CE5" s="183"/>
      <c r="CF5" s="183"/>
      <c r="CG5" s="183"/>
      <c r="CH5" s="183"/>
      <c r="CI5" s="183"/>
      <c r="CJ5" s="183"/>
      <c r="CK5" s="183" t="str">
        <f>Comp_E</f>
        <v>PUGET SOUND ENERGY - ELECTRIC</v>
      </c>
      <c r="CL5" s="183"/>
      <c r="CM5" s="183"/>
      <c r="CN5" s="183"/>
      <c r="CO5" s="183"/>
      <c r="CP5" s="183"/>
      <c r="CQ5" s="183"/>
      <c r="CR5" s="183"/>
      <c r="CS5" s="183" t="str">
        <f>Comp_E</f>
        <v>PUGET SOUND ENERGY - ELECTRIC</v>
      </c>
      <c r="CT5" s="183"/>
      <c r="CU5" s="183"/>
      <c r="CV5" s="183"/>
      <c r="CW5" s="183"/>
      <c r="CX5" s="183"/>
      <c r="CY5" s="183"/>
      <c r="CZ5" s="183"/>
      <c r="DA5" s="183" t="str">
        <f>Comp_E</f>
        <v>PUGET SOUND ENERGY - ELECTRIC</v>
      </c>
      <c r="DB5" s="183"/>
      <c r="DC5" s="183"/>
      <c r="DD5" s="183"/>
      <c r="DE5" s="183"/>
      <c r="DF5" s="183"/>
      <c r="DG5" s="183"/>
      <c r="DH5" s="183"/>
      <c r="DI5" s="183" t="str">
        <f>Comp_E</f>
        <v>PUGET SOUND ENERGY - ELECTRIC</v>
      </c>
      <c r="DJ5" s="183"/>
      <c r="DK5" s="183"/>
      <c r="DL5" s="183"/>
      <c r="DM5" s="183"/>
      <c r="DN5" s="183"/>
      <c r="DO5" s="183"/>
      <c r="DP5" s="183"/>
      <c r="DQ5" s="183" t="str">
        <f>Comp_E</f>
        <v>PUGET SOUND ENERGY - ELECTRIC</v>
      </c>
      <c r="DR5" s="183"/>
      <c r="DS5" s="183"/>
      <c r="DT5" s="183"/>
      <c r="DU5" s="183"/>
      <c r="DV5" s="183"/>
      <c r="DW5" s="183"/>
      <c r="DX5" s="183"/>
      <c r="DY5" s="183" t="str">
        <f>Comp_E</f>
        <v>PUGET SOUND ENERGY - ELECTRIC</v>
      </c>
      <c r="DZ5" s="183"/>
      <c r="EA5" s="183"/>
      <c r="EB5" s="183"/>
      <c r="EC5" s="183"/>
      <c r="ED5" s="183"/>
      <c r="EE5" s="183"/>
      <c r="EF5" s="183"/>
      <c r="EG5" s="183" t="str">
        <f>Comp_E</f>
        <v>PUGET SOUND ENERGY - ELECTRIC</v>
      </c>
      <c r="EH5" s="183"/>
      <c r="EI5" s="183"/>
      <c r="EJ5" s="183"/>
      <c r="EK5" s="183"/>
      <c r="EL5" s="183"/>
      <c r="EM5" s="183"/>
      <c r="EN5" s="183"/>
      <c r="EO5" s="183" t="str">
        <f>Comp_E</f>
        <v>PUGET SOUND ENERGY - ELECTRIC</v>
      </c>
      <c r="EP5" s="183"/>
      <c r="EQ5" s="183"/>
      <c r="ER5" s="183"/>
      <c r="ES5" s="183"/>
      <c r="ET5" s="183"/>
      <c r="EU5" s="183"/>
      <c r="EV5" s="183"/>
      <c r="EW5" s="183" t="str">
        <f>Comp_E</f>
        <v>PUGET SOUND ENERGY - ELECTRIC</v>
      </c>
      <c r="EX5" s="183"/>
      <c r="EY5" s="183"/>
      <c r="EZ5" s="183"/>
      <c r="FA5" s="183"/>
      <c r="FB5" s="183"/>
      <c r="FC5" s="183"/>
      <c r="FD5" s="183"/>
      <c r="FE5" s="183" t="str">
        <f>Comp_E</f>
        <v>PUGET SOUND ENERGY - ELECTRIC</v>
      </c>
      <c r="FF5" s="183"/>
      <c r="FG5" s="183"/>
      <c r="FH5" s="183"/>
      <c r="FI5" s="183"/>
      <c r="FJ5" s="183"/>
      <c r="FK5" s="183"/>
      <c r="FL5" s="183"/>
      <c r="FM5" s="183" t="str">
        <f>Comp_E</f>
        <v>PUGET SOUND ENERGY - ELECTRIC</v>
      </c>
      <c r="FN5" s="183"/>
      <c r="FO5" s="183"/>
      <c r="FP5" s="183"/>
      <c r="FQ5" s="183"/>
      <c r="FR5" s="183"/>
      <c r="FS5" s="183"/>
      <c r="FT5" s="183"/>
      <c r="FU5" s="183" t="str">
        <f>Comp_E</f>
        <v>PUGET SOUND ENERGY - ELECTRIC</v>
      </c>
      <c r="FV5" s="183"/>
      <c r="FW5" s="183"/>
      <c r="FX5" s="183"/>
      <c r="FY5" s="183"/>
      <c r="FZ5" s="183"/>
      <c r="GA5" s="183"/>
      <c r="GB5" s="183"/>
      <c r="GC5" s="183" t="str">
        <f>Comp_E</f>
        <v>PUGET SOUND ENERGY - ELECTRIC</v>
      </c>
      <c r="GD5" s="183"/>
      <c r="GE5" s="183"/>
      <c r="GF5" s="183"/>
      <c r="GG5" s="183"/>
      <c r="GH5" s="183"/>
      <c r="GI5" s="183"/>
      <c r="GJ5" s="183"/>
      <c r="GK5" s="183" t="str">
        <f>Comp_E</f>
        <v>PUGET SOUND ENERGY - ELECTRIC</v>
      </c>
      <c r="GL5" s="183"/>
      <c r="GM5" s="183"/>
      <c r="GN5" s="183"/>
      <c r="GO5" s="183"/>
      <c r="GP5" s="183"/>
      <c r="GQ5" s="183"/>
      <c r="GR5" s="183"/>
      <c r="GS5" s="183" t="str">
        <f>Comp_E</f>
        <v>PUGET SOUND ENERGY - ELECTRIC</v>
      </c>
      <c r="GT5" s="183"/>
      <c r="GU5" s="183"/>
      <c r="GV5" s="183"/>
      <c r="GW5" s="183"/>
      <c r="GX5" s="183"/>
      <c r="GY5" s="183"/>
      <c r="GZ5" s="183"/>
      <c r="HA5" s="183" t="str">
        <f>Comp_E</f>
        <v>PUGET SOUND ENERGY - ELECTRIC</v>
      </c>
      <c r="HB5" s="183"/>
      <c r="HC5" s="183"/>
      <c r="HD5" s="183"/>
      <c r="HE5" s="183"/>
      <c r="HF5" s="183"/>
      <c r="HG5" s="183"/>
      <c r="HH5" s="183"/>
      <c r="HI5" s="183" t="str">
        <f>Comp_E</f>
        <v>PUGET SOUND ENERGY - ELECTRIC</v>
      </c>
      <c r="HJ5" s="183"/>
      <c r="HK5" s="183"/>
      <c r="HL5" s="183"/>
      <c r="HM5" s="183"/>
      <c r="HN5" s="183"/>
      <c r="HO5" s="183"/>
      <c r="HP5" s="183"/>
      <c r="HQ5" s="183" t="str">
        <f>Comp_E</f>
        <v>PUGET SOUND ENERGY - ELECTRIC</v>
      </c>
      <c r="HR5" s="183"/>
      <c r="HS5" s="183"/>
      <c r="HT5" s="183"/>
      <c r="HU5" s="183"/>
      <c r="HV5" s="183"/>
      <c r="HW5" s="183"/>
      <c r="HX5" s="183"/>
      <c r="HY5" s="183" t="str">
        <f>Comp_E</f>
        <v>PUGET SOUND ENERGY - ELECTRIC</v>
      </c>
      <c r="HZ5" s="183"/>
      <c r="IA5" s="183"/>
      <c r="IB5" s="183"/>
      <c r="IC5" s="183"/>
      <c r="ID5" s="183"/>
      <c r="IE5" s="183"/>
      <c r="IF5" s="183"/>
    </row>
    <row r="6" spans="1:240" s="175" customFormat="1" x14ac:dyDescent="0.25">
      <c r="A6" s="183" t="s">
        <v>129</v>
      </c>
      <c r="B6" s="183"/>
      <c r="C6" s="183"/>
      <c r="D6" s="183"/>
      <c r="E6" s="183"/>
      <c r="F6" s="183"/>
      <c r="G6" s="183"/>
      <c r="H6" s="183"/>
      <c r="I6" s="183" t="s">
        <v>485</v>
      </c>
      <c r="J6" s="183"/>
      <c r="K6" s="183"/>
      <c r="L6" s="183"/>
      <c r="M6" s="183"/>
      <c r="N6" s="183"/>
      <c r="O6" s="183"/>
      <c r="P6" s="183"/>
      <c r="Q6" s="183" t="s">
        <v>145</v>
      </c>
      <c r="R6" s="183"/>
      <c r="S6" s="183"/>
      <c r="T6" s="183"/>
      <c r="U6" s="183"/>
      <c r="V6" s="183"/>
      <c r="W6" s="183"/>
      <c r="X6" s="183"/>
      <c r="Y6" s="183" t="s">
        <v>149</v>
      </c>
      <c r="Z6" s="183"/>
      <c r="AA6" s="183"/>
      <c r="AB6" s="183"/>
      <c r="AC6" s="183"/>
      <c r="AD6" s="183"/>
      <c r="AE6" s="183"/>
      <c r="AF6" s="183"/>
      <c r="AG6" s="275" t="s">
        <v>144</v>
      </c>
      <c r="AH6" s="183"/>
      <c r="AI6" s="183"/>
      <c r="AJ6" s="183"/>
      <c r="AK6" s="183"/>
      <c r="AL6" s="183"/>
      <c r="AM6" s="183"/>
      <c r="AN6" s="183"/>
      <c r="AO6" s="183" t="s">
        <v>156</v>
      </c>
      <c r="AP6" s="183"/>
      <c r="AQ6" s="183"/>
      <c r="AR6" s="183"/>
      <c r="AS6" s="183"/>
      <c r="AT6" s="183"/>
      <c r="AU6" s="183"/>
      <c r="AV6" s="183"/>
      <c r="AW6" s="183" t="s">
        <v>82</v>
      </c>
      <c r="AX6" s="183"/>
      <c r="AY6" s="183"/>
      <c r="AZ6" s="183"/>
      <c r="BA6" s="183"/>
      <c r="BB6" s="183"/>
      <c r="BC6" s="183"/>
      <c r="BD6" s="183"/>
      <c r="BE6" s="276" t="s">
        <v>161</v>
      </c>
      <c r="BF6" s="183"/>
      <c r="BG6" s="183"/>
      <c r="BH6" s="183"/>
      <c r="BI6" s="183"/>
      <c r="BJ6" s="183"/>
      <c r="BK6" s="183"/>
      <c r="BL6" s="183"/>
      <c r="BM6" s="183" t="s">
        <v>168</v>
      </c>
      <c r="BN6" s="183"/>
      <c r="BO6" s="183"/>
      <c r="BP6" s="183"/>
      <c r="BQ6" s="183"/>
      <c r="BR6" s="183"/>
      <c r="BS6" s="183"/>
      <c r="BT6" s="183"/>
      <c r="BU6" s="276" t="s">
        <v>170</v>
      </c>
      <c r="BV6" s="183"/>
      <c r="BW6" s="183"/>
      <c r="BX6" s="183"/>
      <c r="BY6" s="183"/>
      <c r="BZ6" s="183"/>
      <c r="CA6" s="183"/>
      <c r="CB6" s="183"/>
      <c r="CC6" s="275" t="s">
        <v>171</v>
      </c>
      <c r="CD6" s="183"/>
      <c r="CE6" s="183"/>
      <c r="CF6" s="183"/>
      <c r="CG6" s="183"/>
      <c r="CH6" s="183"/>
      <c r="CI6" s="183"/>
      <c r="CJ6" s="183"/>
      <c r="CK6" s="275" t="s">
        <v>173</v>
      </c>
      <c r="CL6" s="183"/>
      <c r="CM6" s="183"/>
      <c r="CN6" s="183"/>
      <c r="CO6" s="183"/>
      <c r="CP6" s="183"/>
      <c r="CQ6" s="183"/>
      <c r="CR6" s="183"/>
      <c r="CS6" s="275" t="s">
        <v>179</v>
      </c>
      <c r="CT6" s="183"/>
      <c r="CU6" s="183"/>
      <c r="CV6" s="183"/>
      <c r="CW6" s="183"/>
      <c r="CX6" s="183"/>
      <c r="CY6" s="275"/>
      <c r="CZ6" s="183"/>
      <c r="DA6" s="275" t="s">
        <v>175</v>
      </c>
      <c r="DB6" s="183"/>
      <c r="DC6" s="183"/>
      <c r="DD6" s="183"/>
      <c r="DE6" s="183"/>
      <c r="DF6" s="183"/>
      <c r="DG6" s="275"/>
      <c r="DH6" s="183"/>
      <c r="DI6" s="276" t="s">
        <v>181</v>
      </c>
      <c r="DJ6" s="183"/>
      <c r="DK6" s="183"/>
      <c r="DL6" s="183"/>
      <c r="DM6" s="183"/>
      <c r="DN6" s="183"/>
      <c r="DO6" s="275"/>
      <c r="DP6" s="183"/>
      <c r="DQ6" s="276" t="s">
        <v>185</v>
      </c>
      <c r="DR6" s="183"/>
      <c r="DS6" s="183"/>
      <c r="DT6" s="183"/>
      <c r="DU6" s="183"/>
      <c r="DV6" s="183"/>
      <c r="DW6" s="275"/>
      <c r="DX6" s="183"/>
      <c r="DY6" s="276" t="s">
        <v>196</v>
      </c>
      <c r="DZ6" s="183"/>
      <c r="EA6" s="183"/>
      <c r="EB6" s="183"/>
      <c r="EC6" s="183"/>
      <c r="ED6" s="183"/>
      <c r="EE6" s="275"/>
      <c r="EF6" s="183"/>
      <c r="EG6" s="275" t="s">
        <v>345</v>
      </c>
      <c r="EH6" s="275"/>
      <c r="EI6" s="275"/>
      <c r="EJ6" s="275"/>
      <c r="EK6" s="275"/>
      <c r="EL6" s="183"/>
      <c r="EM6" s="183"/>
      <c r="EN6" s="275"/>
      <c r="EO6" s="275" t="s">
        <v>477</v>
      </c>
      <c r="EP6" s="275"/>
      <c r="EQ6" s="275"/>
      <c r="ER6" s="275"/>
      <c r="ES6" s="275"/>
      <c r="ET6" s="275"/>
      <c r="EU6" s="275"/>
      <c r="EV6" s="275"/>
      <c r="EW6" s="275" t="s">
        <v>176</v>
      </c>
      <c r="EX6" s="275"/>
      <c r="EY6" s="275"/>
      <c r="EZ6" s="275"/>
      <c r="FA6" s="275"/>
      <c r="FB6" s="183"/>
      <c r="FC6" s="183"/>
      <c r="FD6" s="275"/>
      <c r="FE6" s="276" t="s">
        <v>203</v>
      </c>
      <c r="FF6" s="183"/>
      <c r="FG6" s="183"/>
      <c r="FH6" s="183"/>
      <c r="FI6" s="183"/>
      <c r="FJ6" s="183"/>
      <c r="FK6" s="183"/>
      <c r="FL6" s="183"/>
      <c r="FM6" s="275" t="s">
        <v>252</v>
      </c>
      <c r="FN6" s="183"/>
      <c r="FO6" s="183"/>
      <c r="FP6" s="183"/>
      <c r="FQ6" s="183"/>
      <c r="FR6" s="183"/>
      <c r="FS6" s="183"/>
      <c r="FT6" s="183"/>
      <c r="FU6" s="275" t="s">
        <v>402</v>
      </c>
      <c r="FV6" s="275"/>
      <c r="FW6" s="275"/>
      <c r="FX6" s="275"/>
      <c r="FY6" s="275"/>
      <c r="FZ6" s="275"/>
      <c r="GA6" s="275"/>
      <c r="GB6" s="275"/>
      <c r="GC6" s="275" t="s">
        <v>470</v>
      </c>
      <c r="GD6" s="275"/>
      <c r="GE6" s="275"/>
      <c r="GF6" s="275"/>
      <c r="GG6" s="275"/>
      <c r="GH6" s="275"/>
      <c r="GI6" s="275"/>
      <c r="GJ6" s="275"/>
      <c r="GK6" s="275" t="s">
        <v>478</v>
      </c>
      <c r="GL6" s="275"/>
      <c r="GM6" s="275"/>
      <c r="GN6" s="275"/>
      <c r="GO6" s="275"/>
      <c r="GP6" s="275"/>
      <c r="GQ6" s="275"/>
      <c r="GR6" s="275"/>
      <c r="GS6" s="183" t="s">
        <v>554</v>
      </c>
      <c r="GT6" s="275"/>
      <c r="GU6" s="275"/>
      <c r="GV6" s="275"/>
      <c r="GW6" s="275"/>
      <c r="GX6" s="275"/>
      <c r="GY6" s="275"/>
      <c r="GZ6" s="275"/>
      <c r="HA6" s="275" t="s">
        <v>407</v>
      </c>
      <c r="HB6" s="275"/>
      <c r="HC6" s="275"/>
      <c r="HD6" s="275"/>
      <c r="HE6" s="275"/>
      <c r="HF6" s="275"/>
      <c r="HG6" s="275"/>
      <c r="HH6" s="275"/>
      <c r="HI6" s="275" t="s">
        <v>442</v>
      </c>
      <c r="HJ6" s="275"/>
      <c r="HK6" s="275"/>
      <c r="HL6" s="275"/>
      <c r="HM6" s="275"/>
      <c r="HN6" s="275"/>
      <c r="HO6" s="275"/>
      <c r="HP6" s="275"/>
      <c r="HQ6" s="275" t="s">
        <v>473</v>
      </c>
      <c r="HR6" s="275"/>
      <c r="HS6" s="275"/>
      <c r="HT6" s="275"/>
      <c r="HU6" s="275"/>
      <c r="HV6" s="275"/>
      <c r="HW6" s="275"/>
      <c r="HX6" s="275"/>
      <c r="HY6" s="275" t="s">
        <v>784</v>
      </c>
      <c r="HZ6" s="275"/>
      <c r="IA6" s="275"/>
      <c r="IB6" s="275"/>
      <c r="IC6" s="275"/>
      <c r="ID6" s="275"/>
      <c r="IE6" s="275"/>
      <c r="IF6" s="275"/>
    </row>
    <row r="7" spans="1:240" s="175" customFormat="1" x14ac:dyDescent="0.25">
      <c r="A7" s="183" t="str">
        <f>TESTYEAR_E</f>
        <v>12 MONTHS ENDED DECEMBER 31, 2018</v>
      </c>
      <c r="B7" s="183"/>
      <c r="C7" s="183"/>
      <c r="D7" s="183"/>
      <c r="E7" s="183"/>
      <c r="F7" s="183"/>
      <c r="G7" s="183"/>
      <c r="H7" s="183"/>
      <c r="I7" s="183" t="str">
        <f>TESTYEAR_E</f>
        <v>12 MONTHS ENDED DECEMBER 31, 2018</v>
      </c>
      <c r="J7" s="183"/>
      <c r="K7" s="183"/>
      <c r="L7" s="183"/>
      <c r="M7" s="183"/>
      <c r="N7" s="183"/>
      <c r="O7" s="183"/>
      <c r="P7" s="183"/>
      <c r="Q7" s="183" t="str">
        <f>TESTYEAR_E</f>
        <v>12 MONTHS ENDED DECEMBER 31, 2018</v>
      </c>
      <c r="R7" s="183"/>
      <c r="S7" s="183"/>
      <c r="T7" s="183"/>
      <c r="U7" s="183"/>
      <c r="V7" s="183"/>
      <c r="W7" s="183"/>
      <c r="X7" s="183"/>
      <c r="Y7" s="183" t="str">
        <f>TESTYEAR_E</f>
        <v>12 MONTHS ENDED DECEMBER 31, 2018</v>
      </c>
      <c r="Z7" s="183"/>
      <c r="AA7" s="183"/>
      <c r="AB7" s="183"/>
      <c r="AC7" s="183"/>
      <c r="AD7" s="183"/>
      <c r="AE7" s="183"/>
      <c r="AF7" s="183"/>
      <c r="AG7" s="183" t="str">
        <f>TESTYEAR_E</f>
        <v>12 MONTHS ENDED DECEMBER 31, 2018</v>
      </c>
      <c r="AH7" s="183"/>
      <c r="AI7" s="183"/>
      <c r="AJ7" s="183"/>
      <c r="AK7" s="183"/>
      <c r="AL7" s="183"/>
      <c r="AM7" s="183"/>
      <c r="AN7" s="183"/>
      <c r="AO7" s="183" t="str">
        <f>TESTYEAR_E</f>
        <v>12 MONTHS ENDED DECEMBER 31, 2018</v>
      </c>
      <c r="AP7" s="183"/>
      <c r="AQ7" s="183"/>
      <c r="AR7" s="183"/>
      <c r="AS7" s="183"/>
      <c r="AT7" s="183"/>
      <c r="AU7" s="183"/>
      <c r="AV7" s="183"/>
      <c r="AW7" s="183" t="str">
        <f>TESTYEAR_E</f>
        <v>12 MONTHS ENDED DECEMBER 31, 2018</v>
      </c>
      <c r="AX7" s="183"/>
      <c r="AY7" s="183"/>
      <c r="AZ7" s="183"/>
      <c r="BA7" s="183"/>
      <c r="BB7" s="183"/>
      <c r="BC7" s="183"/>
      <c r="BD7" s="183"/>
      <c r="BE7" s="183" t="str">
        <f>TESTYEAR_E</f>
        <v>12 MONTHS ENDED DECEMBER 31, 2018</v>
      </c>
      <c r="BF7" s="183"/>
      <c r="BG7" s="183"/>
      <c r="BH7" s="183"/>
      <c r="BI7" s="183"/>
      <c r="BJ7" s="183"/>
      <c r="BK7" s="183"/>
      <c r="BL7" s="183"/>
      <c r="BM7" s="183" t="str">
        <f>TESTYEAR_E</f>
        <v>12 MONTHS ENDED DECEMBER 31, 2018</v>
      </c>
      <c r="BN7" s="183"/>
      <c r="BO7" s="183"/>
      <c r="BP7" s="183"/>
      <c r="BQ7" s="183"/>
      <c r="BR7" s="183"/>
      <c r="BS7" s="183"/>
      <c r="BT7" s="183"/>
      <c r="BU7" s="183" t="str">
        <f>TESTYEAR_E</f>
        <v>12 MONTHS ENDED DECEMBER 31, 2018</v>
      </c>
      <c r="BV7" s="183"/>
      <c r="BW7" s="183"/>
      <c r="BX7" s="183"/>
      <c r="BY7" s="183"/>
      <c r="BZ7" s="183"/>
      <c r="CA7" s="183"/>
      <c r="CB7" s="183"/>
      <c r="CC7" s="183" t="str">
        <f>TESTYEAR_E</f>
        <v>12 MONTHS ENDED DECEMBER 31, 2018</v>
      </c>
      <c r="CD7" s="183"/>
      <c r="CE7" s="183"/>
      <c r="CF7" s="183"/>
      <c r="CG7" s="183"/>
      <c r="CH7" s="183"/>
      <c r="CI7" s="183"/>
      <c r="CJ7" s="183"/>
      <c r="CK7" s="183" t="str">
        <f>TESTYEAR_E</f>
        <v>12 MONTHS ENDED DECEMBER 31, 2018</v>
      </c>
      <c r="CL7" s="183"/>
      <c r="CM7" s="183"/>
      <c r="CN7" s="183"/>
      <c r="CO7" s="183"/>
      <c r="CP7" s="183"/>
      <c r="CQ7" s="183"/>
      <c r="CR7" s="183"/>
      <c r="CS7" s="183" t="str">
        <f>TESTYEAR_E</f>
        <v>12 MONTHS ENDED DECEMBER 31, 2018</v>
      </c>
      <c r="CT7" s="183"/>
      <c r="CU7" s="183"/>
      <c r="CV7" s="183"/>
      <c r="CW7" s="183"/>
      <c r="CX7" s="183"/>
      <c r="CY7" s="183"/>
      <c r="CZ7" s="183"/>
      <c r="DA7" s="183" t="str">
        <f>TESTYEAR_E</f>
        <v>12 MONTHS ENDED DECEMBER 31, 2018</v>
      </c>
      <c r="DB7" s="183"/>
      <c r="DC7" s="183"/>
      <c r="DD7" s="183"/>
      <c r="DE7" s="183"/>
      <c r="DF7" s="183"/>
      <c r="DG7" s="183"/>
      <c r="DH7" s="183"/>
      <c r="DI7" s="183" t="str">
        <f>TESTYEAR_E</f>
        <v>12 MONTHS ENDED DECEMBER 31, 2018</v>
      </c>
      <c r="DJ7" s="183"/>
      <c r="DK7" s="183"/>
      <c r="DL7" s="183"/>
      <c r="DM7" s="183"/>
      <c r="DN7" s="183"/>
      <c r="DO7" s="183"/>
      <c r="DP7" s="183"/>
      <c r="DQ7" s="183" t="str">
        <f>TESTYEAR_E</f>
        <v>12 MONTHS ENDED DECEMBER 31, 2018</v>
      </c>
      <c r="DR7" s="183"/>
      <c r="DS7" s="183"/>
      <c r="DT7" s="183"/>
      <c r="DU7" s="183"/>
      <c r="DV7" s="183"/>
      <c r="DW7" s="183"/>
      <c r="DX7" s="183"/>
      <c r="DY7" s="183" t="str">
        <f>TESTYEAR_E</f>
        <v>12 MONTHS ENDED DECEMBER 31, 2018</v>
      </c>
      <c r="DZ7" s="183"/>
      <c r="EA7" s="183"/>
      <c r="EB7" s="183"/>
      <c r="EC7" s="183"/>
      <c r="ED7" s="183"/>
      <c r="EE7" s="183"/>
      <c r="EF7" s="183"/>
      <c r="EG7" s="183" t="str">
        <f>TESTYEAR_E</f>
        <v>12 MONTHS ENDED DECEMBER 31, 2018</v>
      </c>
      <c r="EH7" s="183"/>
      <c r="EI7" s="183"/>
      <c r="EJ7" s="183"/>
      <c r="EK7" s="183"/>
      <c r="EL7" s="183"/>
      <c r="EM7" s="183"/>
      <c r="EN7" s="183"/>
      <c r="EO7" s="183" t="str">
        <f>TESTYEAR_E</f>
        <v>12 MONTHS ENDED DECEMBER 31, 2018</v>
      </c>
      <c r="EP7" s="183"/>
      <c r="EQ7" s="183"/>
      <c r="ER7" s="183"/>
      <c r="ES7" s="183"/>
      <c r="ET7" s="183"/>
      <c r="EU7" s="183"/>
      <c r="EV7" s="183"/>
      <c r="EW7" s="183" t="str">
        <f>TESTYEAR_E</f>
        <v>12 MONTHS ENDED DECEMBER 31, 2018</v>
      </c>
      <c r="EX7" s="183"/>
      <c r="EY7" s="183"/>
      <c r="EZ7" s="183"/>
      <c r="FA7" s="183"/>
      <c r="FB7" s="183"/>
      <c r="FC7" s="183"/>
      <c r="FD7" s="183"/>
      <c r="FE7" s="183" t="str">
        <f>TESTYEAR_E</f>
        <v>12 MONTHS ENDED DECEMBER 31, 2018</v>
      </c>
      <c r="FF7" s="183"/>
      <c r="FG7" s="183"/>
      <c r="FH7" s="183"/>
      <c r="FI7" s="183"/>
      <c r="FJ7" s="183"/>
      <c r="FK7" s="183"/>
      <c r="FL7" s="183"/>
      <c r="FM7" s="183" t="str">
        <f>TESTYEAR_E</f>
        <v>12 MONTHS ENDED DECEMBER 31, 2018</v>
      </c>
      <c r="FN7" s="183"/>
      <c r="FO7" s="183"/>
      <c r="FP7" s="183"/>
      <c r="FQ7" s="183"/>
      <c r="FR7" s="183"/>
      <c r="FS7" s="183"/>
      <c r="FT7" s="183"/>
      <c r="FU7" s="183" t="s">
        <v>266</v>
      </c>
      <c r="FV7" s="183"/>
      <c r="FW7" s="183"/>
      <c r="FX7" s="183"/>
      <c r="FY7" s="183"/>
      <c r="FZ7" s="183"/>
      <c r="GA7" s="183"/>
      <c r="GB7" s="183"/>
      <c r="GC7" s="183" t="s">
        <v>266</v>
      </c>
      <c r="GD7" s="183"/>
      <c r="GE7" s="183"/>
      <c r="GF7" s="183"/>
      <c r="GG7" s="183"/>
      <c r="GH7" s="183"/>
      <c r="GI7" s="183"/>
      <c r="GJ7" s="183"/>
      <c r="GK7" s="183" t="s">
        <v>266</v>
      </c>
      <c r="GL7" s="183"/>
      <c r="GM7" s="183"/>
      <c r="GN7" s="183"/>
      <c r="GO7" s="183"/>
      <c r="GP7" s="183"/>
      <c r="GQ7" s="183"/>
      <c r="GR7" s="183"/>
      <c r="GS7" s="183" t="s">
        <v>266</v>
      </c>
      <c r="GT7" s="183"/>
      <c r="GU7" s="183"/>
      <c r="GV7" s="183"/>
      <c r="GW7" s="183"/>
      <c r="GX7" s="183"/>
      <c r="GY7" s="183"/>
      <c r="GZ7" s="183"/>
      <c r="HA7" s="183" t="s">
        <v>266</v>
      </c>
      <c r="HB7" s="183"/>
      <c r="HC7" s="183"/>
      <c r="HD7" s="183"/>
      <c r="HE7" s="183"/>
      <c r="HF7" s="183"/>
      <c r="HG7" s="183"/>
      <c r="HH7" s="183"/>
      <c r="HI7" s="183" t="s">
        <v>266</v>
      </c>
      <c r="HJ7" s="183"/>
      <c r="HK7" s="183"/>
      <c r="HL7" s="183"/>
      <c r="HM7" s="183"/>
      <c r="HN7" s="183"/>
      <c r="HO7" s="183"/>
      <c r="HP7" s="183"/>
      <c r="HQ7" s="183" t="s">
        <v>266</v>
      </c>
      <c r="HR7" s="183"/>
      <c r="HS7" s="183"/>
      <c r="HT7" s="183"/>
      <c r="HU7" s="183"/>
      <c r="HV7" s="183"/>
      <c r="HW7" s="183"/>
      <c r="HX7" s="183"/>
      <c r="HY7" s="183" t="s">
        <v>266</v>
      </c>
      <c r="HZ7" s="183"/>
      <c r="IA7" s="183"/>
      <c r="IB7" s="183"/>
      <c r="IC7" s="183"/>
      <c r="ID7" s="183"/>
      <c r="IE7" s="183"/>
      <c r="IF7" s="183"/>
    </row>
    <row r="8" spans="1:240" s="175" customFormat="1" ht="13.8" thickBot="1" x14ac:dyDescent="0.3">
      <c r="A8" s="183" t="str">
        <f>CASE_E</f>
        <v>2019 GENERAL RATE CASE</v>
      </c>
      <c r="B8" s="183"/>
      <c r="C8" s="183"/>
      <c r="D8" s="183"/>
      <c r="E8" s="183"/>
      <c r="F8" s="183"/>
      <c r="G8" s="183"/>
      <c r="H8" s="183"/>
      <c r="I8" s="183" t="str">
        <f>CASE_E</f>
        <v>2019 GENERAL RATE CASE</v>
      </c>
      <c r="J8" s="183"/>
      <c r="K8" s="183"/>
      <c r="L8" s="183"/>
      <c r="M8" s="183"/>
      <c r="N8" s="183"/>
      <c r="O8" s="183"/>
      <c r="P8" s="183"/>
      <c r="Q8" s="183" t="str">
        <f>CASE_E</f>
        <v>2019 GENERAL RATE CASE</v>
      </c>
      <c r="R8" s="183"/>
      <c r="S8" s="183"/>
      <c r="T8" s="183"/>
      <c r="U8" s="183"/>
      <c r="V8" s="183"/>
      <c r="W8" s="183"/>
      <c r="X8" s="183"/>
      <c r="Y8" s="183" t="str">
        <f>CASE_E</f>
        <v>2019 GENERAL RATE CASE</v>
      </c>
      <c r="Z8" s="183"/>
      <c r="AA8" s="183"/>
      <c r="AB8" s="183"/>
      <c r="AC8" s="183"/>
      <c r="AD8" s="183"/>
      <c r="AE8" s="183"/>
      <c r="AF8" s="183"/>
      <c r="AG8" s="183" t="str">
        <f>CASE_E</f>
        <v>2019 GENERAL RATE CASE</v>
      </c>
      <c r="AH8" s="183"/>
      <c r="AI8" s="183"/>
      <c r="AJ8" s="183"/>
      <c r="AK8" s="183"/>
      <c r="AL8" s="183"/>
      <c r="AM8" s="183"/>
      <c r="AN8" s="183"/>
      <c r="AO8" s="183" t="str">
        <f>CASE_E</f>
        <v>2019 GENERAL RATE CASE</v>
      </c>
      <c r="AP8" s="183"/>
      <c r="AQ8" s="183"/>
      <c r="AR8" s="183"/>
      <c r="AS8" s="183"/>
      <c r="AT8" s="183"/>
      <c r="AU8" s="183"/>
      <c r="AV8" s="183"/>
      <c r="AW8" s="183" t="str">
        <f>CASE_E</f>
        <v>2019 GENERAL RATE CASE</v>
      </c>
      <c r="AX8" s="183"/>
      <c r="AY8" s="183"/>
      <c r="AZ8" s="183"/>
      <c r="BA8" s="183"/>
      <c r="BB8" s="183"/>
      <c r="BC8" s="183"/>
      <c r="BD8" s="183"/>
      <c r="BE8" s="183" t="str">
        <f>CASE_E</f>
        <v>2019 GENERAL RATE CASE</v>
      </c>
      <c r="BF8" s="183"/>
      <c r="BG8" s="183"/>
      <c r="BH8" s="183"/>
      <c r="BI8" s="183"/>
      <c r="BJ8" s="183"/>
      <c r="BK8" s="183"/>
      <c r="BL8" s="183"/>
      <c r="BM8" s="183" t="str">
        <f>CASE_E</f>
        <v>2019 GENERAL RATE CASE</v>
      </c>
      <c r="BN8" s="183"/>
      <c r="BO8" s="183"/>
      <c r="BP8" s="183"/>
      <c r="BQ8" s="183"/>
      <c r="BR8" s="183"/>
      <c r="BS8" s="183"/>
      <c r="BT8" s="183"/>
      <c r="BU8" s="183" t="str">
        <f>CASE_E</f>
        <v>2019 GENERAL RATE CASE</v>
      </c>
      <c r="BV8" s="183"/>
      <c r="BW8" s="183"/>
      <c r="BX8" s="183"/>
      <c r="BY8" s="183"/>
      <c r="BZ8" s="183"/>
      <c r="CA8" s="183"/>
      <c r="CB8" s="183"/>
      <c r="CC8" s="183" t="str">
        <f>CASE_E</f>
        <v>2019 GENERAL RATE CASE</v>
      </c>
      <c r="CD8" s="183"/>
      <c r="CE8" s="183"/>
      <c r="CF8" s="183"/>
      <c r="CG8" s="183"/>
      <c r="CH8" s="183"/>
      <c r="CI8" s="183"/>
      <c r="CJ8" s="183"/>
      <c r="CK8" s="183" t="str">
        <f>CASE_E</f>
        <v>2019 GENERAL RATE CASE</v>
      </c>
      <c r="CL8" s="183"/>
      <c r="CM8" s="183"/>
      <c r="CN8" s="183"/>
      <c r="CO8" s="183"/>
      <c r="CP8" s="183"/>
      <c r="CQ8" s="183"/>
      <c r="CR8" s="183"/>
      <c r="CS8" s="183" t="str">
        <f>CASE_E</f>
        <v>2019 GENERAL RATE CASE</v>
      </c>
      <c r="CT8" s="183"/>
      <c r="CU8" s="183"/>
      <c r="CV8" s="183"/>
      <c r="CW8" s="183"/>
      <c r="CX8" s="183"/>
      <c r="CY8" s="183"/>
      <c r="CZ8" s="183"/>
      <c r="DA8" s="183" t="str">
        <f>CASE_E</f>
        <v>2019 GENERAL RATE CASE</v>
      </c>
      <c r="DB8" s="183"/>
      <c r="DC8" s="183"/>
      <c r="DD8" s="183"/>
      <c r="DE8" s="183"/>
      <c r="DF8" s="183"/>
      <c r="DG8" s="183"/>
      <c r="DH8" s="183"/>
      <c r="DI8" s="183" t="str">
        <f>CASE_E</f>
        <v>2019 GENERAL RATE CASE</v>
      </c>
      <c r="DJ8" s="183"/>
      <c r="DK8" s="183"/>
      <c r="DL8" s="183"/>
      <c r="DM8" s="183"/>
      <c r="DN8" s="183"/>
      <c r="DO8" s="183"/>
      <c r="DP8" s="183"/>
      <c r="DQ8" s="183" t="str">
        <f>CASE_E</f>
        <v>2019 GENERAL RATE CASE</v>
      </c>
      <c r="DR8" s="183"/>
      <c r="DS8" s="183"/>
      <c r="DT8" s="183"/>
      <c r="DU8" s="183"/>
      <c r="DV8" s="183"/>
      <c r="DW8" s="183"/>
      <c r="DX8" s="183"/>
      <c r="DY8" s="183" t="str">
        <f>CASE_E</f>
        <v>2019 GENERAL RATE CASE</v>
      </c>
      <c r="DZ8" s="183"/>
      <c r="EA8" s="183"/>
      <c r="EB8" s="183"/>
      <c r="EC8" s="183"/>
      <c r="ED8" s="183"/>
      <c r="EE8" s="183"/>
      <c r="EF8" s="183"/>
      <c r="EG8" s="183" t="str">
        <f>CASE_E</f>
        <v>2019 GENERAL RATE CASE</v>
      </c>
      <c r="EH8" s="183"/>
      <c r="EI8" s="183"/>
      <c r="EJ8" s="183"/>
      <c r="EK8" s="183"/>
      <c r="EL8" s="183"/>
      <c r="EM8" s="183"/>
      <c r="EN8" s="183"/>
      <c r="EO8" s="183" t="str">
        <f>CASE_E</f>
        <v>2019 GENERAL RATE CASE</v>
      </c>
      <c r="EP8" s="183"/>
      <c r="EQ8" s="183"/>
      <c r="ER8" s="183"/>
      <c r="ES8" s="183"/>
      <c r="ET8" s="183"/>
      <c r="EU8" s="183"/>
      <c r="EV8" s="183"/>
      <c r="EW8" s="183" t="str">
        <f>CASE_E</f>
        <v>2019 GENERAL RATE CASE</v>
      </c>
      <c r="EX8" s="183"/>
      <c r="EY8" s="183"/>
      <c r="EZ8" s="183"/>
      <c r="FA8" s="183"/>
      <c r="FB8" s="183"/>
      <c r="FC8" s="183"/>
      <c r="FD8" s="183"/>
      <c r="FE8" s="183" t="str">
        <f>CASE_E</f>
        <v>2019 GENERAL RATE CASE</v>
      </c>
      <c r="FF8" s="183"/>
      <c r="FG8" s="183"/>
      <c r="FH8" s="183"/>
      <c r="FI8" s="183"/>
      <c r="FJ8" s="183"/>
      <c r="FK8" s="183"/>
      <c r="FL8" s="183"/>
      <c r="FM8" s="183" t="str">
        <f>CASE_E</f>
        <v>2019 GENERAL RATE CASE</v>
      </c>
      <c r="FN8" s="183"/>
      <c r="FO8" s="183"/>
      <c r="FP8" s="183"/>
      <c r="FQ8" s="183"/>
      <c r="FR8" s="183"/>
      <c r="FS8" s="183"/>
      <c r="FT8" s="183"/>
      <c r="FU8" s="183" t="s">
        <v>201</v>
      </c>
      <c r="FV8" s="183"/>
      <c r="FW8" s="183"/>
      <c r="FX8" s="183"/>
      <c r="FY8" s="183"/>
      <c r="FZ8" s="183"/>
      <c r="GA8" s="183"/>
      <c r="GB8" s="183"/>
      <c r="GC8" s="183" t="s">
        <v>201</v>
      </c>
      <c r="GD8" s="183"/>
      <c r="GE8" s="183"/>
      <c r="GF8" s="183"/>
      <c r="GG8" s="183"/>
      <c r="GH8" s="183"/>
      <c r="GI8" s="183"/>
      <c r="GJ8" s="183"/>
      <c r="GK8" s="183" t="s">
        <v>201</v>
      </c>
      <c r="GL8" s="183"/>
      <c r="GM8" s="183"/>
      <c r="GN8" s="183"/>
      <c r="GO8" s="183"/>
      <c r="GP8" s="183"/>
      <c r="GQ8" s="183"/>
      <c r="GR8" s="183"/>
      <c r="GS8" s="183" t="s">
        <v>201</v>
      </c>
      <c r="GT8" s="183"/>
      <c r="GU8" s="183"/>
      <c r="GV8" s="183"/>
      <c r="GW8" s="183"/>
      <c r="GX8" s="183"/>
      <c r="GY8" s="183"/>
      <c r="GZ8" s="183"/>
      <c r="HA8" s="183" t="s">
        <v>201</v>
      </c>
      <c r="HB8" s="183"/>
      <c r="HC8" s="183"/>
      <c r="HD8" s="183"/>
      <c r="HE8" s="183"/>
      <c r="HF8" s="183"/>
      <c r="HG8" s="183"/>
      <c r="HH8" s="183"/>
      <c r="HI8" s="183" t="s">
        <v>201</v>
      </c>
      <c r="HJ8" s="183"/>
      <c r="HK8" s="183"/>
      <c r="HL8" s="183"/>
      <c r="HM8" s="183"/>
      <c r="HN8" s="183"/>
      <c r="HO8" s="183"/>
      <c r="HP8" s="183"/>
      <c r="HQ8" s="183" t="s">
        <v>201</v>
      </c>
      <c r="HR8" s="183"/>
      <c r="HS8" s="183"/>
      <c r="HT8" s="183"/>
      <c r="HU8" s="183"/>
      <c r="HV8" s="183"/>
      <c r="HW8" s="183"/>
      <c r="HX8" s="183"/>
      <c r="HY8" s="183" t="s">
        <v>201</v>
      </c>
      <c r="HZ8" s="183"/>
      <c r="IA8" s="183"/>
      <c r="IB8" s="183"/>
      <c r="IC8" s="183"/>
      <c r="ID8" s="183"/>
      <c r="IE8" s="183"/>
      <c r="IF8" s="183"/>
    </row>
    <row r="9" spans="1:240" ht="13.8" thickBot="1" x14ac:dyDescent="0.3">
      <c r="A9" s="2"/>
      <c r="B9" s="2"/>
      <c r="C9" s="2"/>
      <c r="D9" s="2"/>
      <c r="E9" s="2"/>
      <c r="F9" s="277">
        <f>+'Detailed Summary'!D9</f>
        <v>20.010000000000002</v>
      </c>
      <c r="G9" s="2"/>
      <c r="H9" s="278">
        <f>'Detailed Summary'!AI9</f>
        <v>20.010000000000002</v>
      </c>
      <c r="I9" s="2"/>
      <c r="J9" s="2"/>
      <c r="K9" s="2"/>
      <c r="L9" s="2"/>
      <c r="M9" s="2"/>
      <c r="N9" s="277">
        <f>+'Detailed Summary'!E9</f>
        <v>20.020000000000003</v>
      </c>
      <c r="O9" s="2"/>
      <c r="P9" s="278">
        <f>'Detailed Summary'!AJ9</f>
        <v>20.020000000000003</v>
      </c>
      <c r="Q9" s="2"/>
      <c r="R9" s="2"/>
      <c r="S9" s="2"/>
      <c r="T9" s="2"/>
      <c r="U9" s="2"/>
      <c r="V9" s="277">
        <f>+'Detailed Summary'!F9</f>
        <v>20.030000000000005</v>
      </c>
      <c r="W9" s="2"/>
      <c r="X9" s="278" t="s">
        <v>455</v>
      </c>
      <c r="Y9" s="2"/>
      <c r="Z9" s="2"/>
      <c r="AA9" s="2"/>
      <c r="AB9" s="2"/>
      <c r="AC9" s="2"/>
      <c r="AD9" s="277">
        <f>+'Detailed Summary'!G9</f>
        <v>20.040000000000006</v>
      </c>
      <c r="AE9" s="2"/>
      <c r="AF9" s="278">
        <f>'Detailed Summary'!AK9</f>
        <v>20.040000000000006</v>
      </c>
      <c r="AG9" s="2"/>
      <c r="AH9" s="2"/>
      <c r="AI9" s="2"/>
      <c r="AJ9" s="2"/>
      <c r="AK9" s="2"/>
      <c r="AL9" s="277">
        <f>+'Detailed Summary'!H9</f>
        <v>20.050000000000008</v>
      </c>
      <c r="AM9" s="2"/>
      <c r="AN9" s="277" t="s">
        <v>455</v>
      </c>
      <c r="AO9" s="2"/>
      <c r="AP9" s="2"/>
      <c r="AQ9" s="2"/>
      <c r="AR9" s="2"/>
      <c r="AS9" s="2"/>
      <c r="AT9" s="277">
        <f>+'Detailed Summary'!I9</f>
        <v>20.060000000000009</v>
      </c>
      <c r="AU9" s="2"/>
      <c r="AV9" s="278" t="s">
        <v>455</v>
      </c>
      <c r="AW9" s="2"/>
      <c r="AX9" s="2"/>
      <c r="AY9" s="2"/>
      <c r="AZ9" s="2"/>
      <c r="BA9" s="2"/>
      <c r="BB9" s="277">
        <f>+'Detailed Summary'!J9</f>
        <v>20.070000000000011</v>
      </c>
      <c r="BC9" s="2"/>
      <c r="BD9" s="278" t="s">
        <v>455</v>
      </c>
      <c r="BE9" s="2"/>
      <c r="BF9" s="2"/>
      <c r="BG9" s="2"/>
      <c r="BH9" s="2"/>
      <c r="BI9" s="2"/>
      <c r="BJ9" s="277">
        <f>+'Detailed Summary'!K9</f>
        <v>20.080000000000013</v>
      </c>
      <c r="BK9" s="2"/>
      <c r="BL9" s="278" t="s">
        <v>455</v>
      </c>
      <c r="BM9" s="2"/>
      <c r="BN9" s="2"/>
      <c r="BO9" s="2"/>
      <c r="BP9" s="2"/>
      <c r="BQ9" s="2"/>
      <c r="BR9" s="277">
        <f>+'Detailed Summary'!L9</f>
        <v>20.090000000000014</v>
      </c>
      <c r="BS9" s="2"/>
      <c r="BT9" s="278">
        <f>'Detailed Summary'!AL9</f>
        <v>20.090000000000014</v>
      </c>
      <c r="BU9" s="2"/>
      <c r="BV9" s="2"/>
      <c r="BW9" s="2"/>
      <c r="BX9" s="2"/>
      <c r="BY9" s="2"/>
      <c r="BZ9" s="277">
        <f>+'Detailed Summary'!M9</f>
        <v>20.100000000000016</v>
      </c>
      <c r="CA9" s="2"/>
      <c r="CB9" s="278">
        <f>'Detailed Summary'!AM9</f>
        <v>20.100000000000016</v>
      </c>
      <c r="CC9" s="2"/>
      <c r="CD9" s="2"/>
      <c r="CE9" s="2"/>
      <c r="CF9" s="2"/>
      <c r="CG9" s="2"/>
      <c r="CH9" s="277">
        <f>+'Detailed Summary'!N9</f>
        <v>20.110000000000017</v>
      </c>
      <c r="CI9" s="2"/>
      <c r="CJ9" s="278" t="s">
        <v>455</v>
      </c>
      <c r="CK9" s="2"/>
      <c r="CL9" s="2"/>
      <c r="CM9" s="2"/>
      <c r="CN9" s="2"/>
      <c r="CO9" s="2"/>
      <c r="CP9" s="277">
        <f>+'Detailed Summary'!O9</f>
        <v>20.120000000000019</v>
      </c>
      <c r="CQ9" s="2"/>
      <c r="CR9" s="278" t="s">
        <v>455</v>
      </c>
      <c r="CS9" s="2"/>
      <c r="CT9" s="2"/>
      <c r="CU9" s="2"/>
      <c r="CV9" s="2"/>
      <c r="CW9" s="2"/>
      <c r="CX9" s="277">
        <f>+'Detailed Summary'!P9</f>
        <v>20.13000000000002</v>
      </c>
      <c r="CY9" s="2"/>
      <c r="CZ9" s="278" t="s">
        <v>455</v>
      </c>
      <c r="DA9" s="2"/>
      <c r="DB9" s="2"/>
      <c r="DC9" s="2"/>
      <c r="DD9" s="2"/>
      <c r="DE9" s="2"/>
      <c r="DF9" s="277">
        <f>+'Detailed Summary'!Q9</f>
        <v>20.140000000000022</v>
      </c>
      <c r="DG9" s="2"/>
      <c r="DH9" s="278">
        <f>'Detailed Summary'!AN9</f>
        <v>20.14</v>
      </c>
      <c r="DI9" s="2"/>
      <c r="DJ9" s="2"/>
      <c r="DK9" s="2"/>
      <c r="DL9" s="2"/>
      <c r="DM9" s="2"/>
      <c r="DN9" s="277">
        <f>'Detailed Summary'!R9</f>
        <v>20.150000000000023</v>
      </c>
      <c r="DO9" s="2"/>
      <c r="DP9" s="278">
        <f>'Detailed Summary'!AO9</f>
        <v>20.149999999999999</v>
      </c>
      <c r="DQ9" s="2"/>
      <c r="DR9" s="2"/>
      <c r="DS9" s="2"/>
      <c r="DT9" s="2"/>
      <c r="DU9" s="2"/>
      <c r="DV9" s="277">
        <f>'Detailed Summary'!S9</f>
        <v>20.160000000000025</v>
      </c>
      <c r="DW9" s="2"/>
      <c r="DX9" s="278">
        <f>'Detailed Summary'!AP9</f>
        <v>20.16</v>
      </c>
      <c r="DY9" s="2"/>
      <c r="DZ9" s="2"/>
      <c r="EA9" s="2"/>
      <c r="EB9" s="2"/>
      <c r="EC9" s="2"/>
      <c r="ED9" s="277">
        <f>'Detailed Summary'!T9</f>
        <v>20.170000000000027</v>
      </c>
      <c r="EE9" s="2"/>
      <c r="EF9" s="278">
        <f>'Detailed Summary'!AQ9</f>
        <v>20.170000000000002</v>
      </c>
      <c r="EJ9" s="2"/>
      <c r="EK9" s="2"/>
      <c r="EL9" s="277">
        <f>'Detailed Summary'!U9</f>
        <v>20.180000000000028</v>
      </c>
      <c r="EM9" s="2"/>
      <c r="EN9" s="278" t="s">
        <v>455</v>
      </c>
      <c r="ER9" s="2"/>
      <c r="ES9" s="2"/>
      <c r="ET9" s="277">
        <f>'Detailed Summary'!V9</f>
        <v>20.19000000000003</v>
      </c>
      <c r="EU9" s="2"/>
      <c r="EV9" s="278" t="s">
        <v>455</v>
      </c>
      <c r="EW9" s="2"/>
      <c r="EX9" s="2"/>
      <c r="EY9" s="2"/>
      <c r="EZ9" s="2"/>
      <c r="FA9" s="2"/>
      <c r="FB9" s="277" t="s">
        <v>455</v>
      </c>
      <c r="FC9" s="2"/>
      <c r="FD9" s="278">
        <f>'Detailed Summary'!AR9</f>
        <v>20.2</v>
      </c>
      <c r="FE9" s="2"/>
      <c r="FF9" s="2"/>
      <c r="FG9" s="2"/>
      <c r="FH9" s="2"/>
      <c r="FI9" s="2"/>
      <c r="FJ9" s="277" t="s">
        <v>455</v>
      </c>
      <c r="FK9" s="2"/>
      <c r="FL9" s="278">
        <f>'Detailed Summary'!AS9</f>
        <v>20.21</v>
      </c>
      <c r="FM9" s="2"/>
      <c r="FN9" s="2"/>
      <c r="FO9" s="2"/>
      <c r="FP9" s="2"/>
      <c r="FQ9" s="2"/>
      <c r="FR9" s="277" t="s">
        <v>455</v>
      </c>
      <c r="FS9" s="2"/>
      <c r="FT9" s="278">
        <f>'Detailed Summary'!AT9</f>
        <v>20.220000000000002</v>
      </c>
      <c r="FZ9" s="277">
        <f>'Detailed Summary'!W9</f>
        <v>20.23</v>
      </c>
      <c r="GA9" s="2"/>
      <c r="GB9" s="278">
        <f>'Detailed Summary'!AU9</f>
        <v>20.230000000000004</v>
      </c>
      <c r="GH9" s="277" t="s">
        <v>455</v>
      </c>
      <c r="GI9" s="2"/>
      <c r="GJ9" s="278">
        <f>'Detailed Summary'!AV9</f>
        <v>20.240000000000006</v>
      </c>
      <c r="GP9" s="277" t="s">
        <v>455</v>
      </c>
      <c r="GR9" s="278">
        <f>'Detailed Summary'!AW9</f>
        <v>20.250000000000007</v>
      </c>
      <c r="GX9" s="277" t="s">
        <v>455</v>
      </c>
      <c r="GZ9" s="278">
        <f>'Detailed Summary'!AX9</f>
        <v>20.260000000000009</v>
      </c>
      <c r="HF9" s="277" t="s">
        <v>455</v>
      </c>
      <c r="HH9" s="278">
        <f>'Detailed Summary'!AY9</f>
        <v>20.27000000000001</v>
      </c>
      <c r="HN9" s="277" t="s">
        <v>455</v>
      </c>
      <c r="HP9" s="278">
        <f>'Detailed Summary'!AZ9</f>
        <v>20.280000000000012</v>
      </c>
      <c r="HV9" s="277" t="s">
        <v>455</v>
      </c>
      <c r="HX9" s="278">
        <f>'Detailed Summary'!BA9</f>
        <v>20.290000000000013</v>
      </c>
      <c r="ID9" s="277">
        <f>+'Detailed Summary'!X9</f>
        <v>20.3</v>
      </c>
      <c r="IF9" s="277" t="s">
        <v>455</v>
      </c>
    </row>
    <row r="10" spans="1:240" x14ac:dyDescent="0.25">
      <c r="C10" s="281"/>
      <c r="D10" s="282" t="s">
        <v>256</v>
      </c>
      <c r="E10" s="283"/>
      <c r="F10" s="284" t="s">
        <v>105</v>
      </c>
      <c r="G10" s="283"/>
      <c r="H10" s="284" t="s">
        <v>93</v>
      </c>
      <c r="I10" s="275"/>
      <c r="J10" s="281"/>
      <c r="K10" s="281"/>
      <c r="L10" s="282" t="s">
        <v>256</v>
      </c>
      <c r="M10" s="283"/>
      <c r="N10" s="284" t="s">
        <v>105</v>
      </c>
      <c r="O10" s="283"/>
      <c r="P10" s="284" t="s">
        <v>93</v>
      </c>
      <c r="S10" s="281"/>
      <c r="T10" s="282" t="s">
        <v>256</v>
      </c>
      <c r="U10" s="283"/>
      <c r="V10" s="284" t="s">
        <v>105</v>
      </c>
      <c r="W10" s="283"/>
      <c r="X10" s="284" t="s">
        <v>93</v>
      </c>
      <c r="Y10" s="275"/>
      <c r="Z10" s="281"/>
      <c r="AA10" s="281"/>
      <c r="AB10" s="282" t="s">
        <v>256</v>
      </c>
      <c r="AC10" s="283"/>
      <c r="AD10" s="284" t="s">
        <v>105</v>
      </c>
      <c r="AE10" s="283"/>
      <c r="AF10" s="284" t="s">
        <v>93</v>
      </c>
      <c r="AI10" s="281"/>
      <c r="AJ10" s="282" t="s">
        <v>256</v>
      </c>
      <c r="AK10" s="283"/>
      <c r="AL10" s="284" t="s">
        <v>105</v>
      </c>
      <c r="AM10" s="283"/>
      <c r="AN10" s="284" t="s">
        <v>93</v>
      </c>
      <c r="AO10" s="275"/>
      <c r="AP10" s="281"/>
      <c r="AQ10" s="281"/>
      <c r="AR10" s="282" t="s">
        <v>256</v>
      </c>
      <c r="AS10" s="283"/>
      <c r="AT10" s="284" t="s">
        <v>105</v>
      </c>
      <c r="AU10" s="283"/>
      <c r="AV10" s="284" t="s">
        <v>93</v>
      </c>
      <c r="AX10" s="288"/>
      <c r="AY10" s="281"/>
      <c r="AZ10" s="282" t="s">
        <v>256</v>
      </c>
      <c r="BA10" s="283"/>
      <c r="BB10" s="284" t="s">
        <v>105</v>
      </c>
      <c r="BC10" s="283"/>
      <c r="BD10" s="284" t="s">
        <v>93</v>
      </c>
      <c r="BG10" s="287"/>
      <c r="BH10" s="282" t="s">
        <v>256</v>
      </c>
      <c r="BI10" s="283"/>
      <c r="BJ10" s="284" t="s">
        <v>105</v>
      </c>
      <c r="BK10" s="283"/>
      <c r="BL10" s="284" t="s">
        <v>93</v>
      </c>
      <c r="BM10" s="291"/>
      <c r="BN10" s="287"/>
      <c r="BO10" s="287"/>
      <c r="BP10" s="282" t="s">
        <v>256</v>
      </c>
      <c r="BQ10" s="283"/>
      <c r="BR10" s="284" t="s">
        <v>105</v>
      </c>
      <c r="BS10" s="283"/>
      <c r="BT10" s="284" t="s">
        <v>93</v>
      </c>
      <c r="BW10" s="287"/>
      <c r="BX10" s="282" t="s">
        <v>256</v>
      </c>
      <c r="BY10" s="283"/>
      <c r="BZ10" s="284" t="s">
        <v>105</v>
      </c>
      <c r="CA10" s="283"/>
      <c r="CB10" s="284" t="s">
        <v>93</v>
      </c>
      <c r="CE10" s="287"/>
      <c r="CF10" s="282" t="s">
        <v>256</v>
      </c>
      <c r="CG10" s="283"/>
      <c r="CH10" s="284" t="s">
        <v>105</v>
      </c>
      <c r="CI10" s="283"/>
      <c r="CJ10" s="284" t="s">
        <v>93</v>
      </c>
      <c r="CM10" s="287"/>
      <c r="CN10" s="282" t="s">
        <v>256</v>
      </c>
      <c r="CO10" s="283"/>
      <c r="CP10" s="284" t="s">
        <v>105</v>
      </c>
      <c r="CQ10" s="283"/>
      <c r="CR10" s="284" t="s">
        <v>93</v>
      </c>
      <c r="CU10" s="287"/>
      <c r="CV10" s="282" t="s">
        <v>256</v>
      </c>
      <c r="CW10" s="283"/>
      <c r="CX10" s="284" t="s">
        <v>105</v>
      </c>
      <c r="CY10" s="283"/>
      <c r="CZ10" s="284" t="s">
        <v>93</v>
      </c>
      <c r="DC10" s="287"/>
      <c r="DD10" s="282" t="s">
        <v>256</v>
      </c>
      <c r="DE10" s="283"/>
      <c r="DF10" s="284" t="s">
        <v>105</v>
      </c>
      <c r="DG10" s="283"/>
      <c r="DH10" s="284" t="s">
        <v>93</v>
      </c>
      <c r="DI10" s="361"/>
      <c r="DJ10" s="391"/>
      <c r="DK10" s="287"/>
      <c r="DL10" s="282" t="s">
        <v>256</v>
      </c>
      <c r="DM10" s="283"/>
      <c r="DN10" s="284" t="s">
        <v>105</v>
      </c>
      <c r="DO10" s="283"/>
      <c r="DP10" s="284" t="s">
        <v>93</v>
      </c>
      <c r="DQ10" s="361"/>
      <c r="DR10" s="391"/>
      <c r="DS10" s="287"/>
      <c r="DT10" s="282" t="s">
        <v>256</v>
      </c>
      <c r="DU10" s="283"/>
      <c r="DV10" s="284" t="s">
        <v>105</v>
      </c>
      <c r="DW10" s="283"/>
      <c r="DX10" s="284" t="s">
        <v>93</v>
      </c>
      <c r="EB10" s="282" t="s">
        <v>256</v>
      </c>
      <c r="EC10" s="283"/>
      <c r="ED10" s="284" t="s">
        <v>105</v>
      </c>
      <c r="EE10" s="283"/>
      <c r="EF10" s="284" t="s">
        <v>93</v>
      </c>
      <c r="EG10" s="11"/>
      <c r="EJ10" s="282" t="s">
        <v>256</v>
      </c>
      <c r="EK10" s="283"/>
      <c r="EL10" s="284" t="s">
        <v>105</v>
      </c>
      <c r="EM10" s="283"/>
      <c r="EN10" s="284" t="s">
        <v>93</v>
      </c>
      <c r="ER10" s="282" t="s">
        <v>256</v>
      </c>
      <c r="ES10" s="283"/>
      <c r="ET10" s="284" t="s">
        <v>105</v>
      </c>
      <c r="EU10" s="283"/>
      <c r="EV10" s="284" t="s">
        <v>93</v>
      </c>
      <c r="EY10" s="287"/>
      <c r="EZ10" s="282" t="s">
        <v>256</v>
      </c>
      <c r="FA10" s="283"/>
      <c r="FB10" s="284" t="s">
        <v>105</v>
      </c>
      <c r="FC10" s="283"/>
      <c r="FD10" s="284" t="s">
        <v>93</v>
      </c>
      <c r="FE10" s="11"/>
      <c r="FF10" s="11"/>
      <c r="FH10" s="282" t="s">
        <v>256</v>
      </c>
      <c r="FI10" s="283"/>
      <c r="FJ10" s="284" t="s">
        <v>105</v>
      </c>
      <c r="FK10" s="283"/>
      <c r="FL10" s="284" t="s">
        <v>93</v>
      </c>
      <c r="FO10" s="287"/>
      <c r="FP10" s="282" t="s">
        <v>256</v>
      </c>
      <c r="FQ10" s="283"/>
      <c r="FR10" s="284" t="s">
        <v>105</v>
      </c>
      <c r="FS10" s="283"/>
      <c r="FT10" s="284" t="s">
        <v>93</v>
      </c>
      <c r="FW10" s="287"/>
      <c r="FX10" s="282" t="s">
        <v>256</v>
      </c>
      <c r="FY10" s="283"/>
      <c r="FZ10" s="284" t="s">
        <v>105</v>
      </c>
      <c r="GA10" s="283"/>
      <c r="GB10" s="284" t="s">
        <v>93</v>
      </c>
      <c r="GE10" s="287"/>
      <c r="GF10" s="282" t="s">
        <v>256</v>
      </c>
      <c r="GG10" s="283"/>
      <c r="GH10" s="284" t="s">
        <v>105</v>
      </c>
      <c r="GI10" s="283"/>
      <c r="GJ10" s="284" t="s">
        <v>93</v>
      </c>
      <c r="GM10" s="287"/>
      <c r="GN10" s="282" t="s">
        <v>256</v>
      </c>
      <c r="GO10" s="283"/>
      <c r="GP10" s="284" t="s">
        <v>105</v>
      </c>
      <c r="GQ10" s="283"/>
      <c r="GR10" s="284" t="s">
        <v>93</v>
      </c>
      <c r="GU10" s="287"/>
      <c r="GV10" s="282" t="s">
        <v>256</v>
      </c>
      <c r="GW10" s="283"/>
      <c r="GX10" s="284" t="s">
        <v>105</v>
      </c>
      <c r="GY10" s="283"/>
      <c r="GZ10" s="284" t="s">
        <v>93</v>
      </c>
      <c r="HC10" s="287"/>
      <c r="HD10" s="282" t="s">
        <v>256</v>
      </c>
      <c r="HE10" s="283"/>
      <c r="HF10" s="284" t="s">
        <v>105</v>
      </c>
      <c r="HG10" s="283"/>
      <c r="HH10" s="284" t="s">
        <v>93</v>
      </c>
      <c r="HK10" s="287"/>
      <c r="HL10" s="282" t="s">
        <v>256</v>
      </c>
      <c r="HM10" s="283"/>
      <c r="HN10" s="284" t="s">
        <v>105</v>
      </c>
      <c r="HO10" s="283"/>
      <c r="HP10" s="284" t="s">
        <v>93</v>
      </c>
      <c r="HS10" s="287"/>
      <c r="HT10" s="282" t="s">
        <v>256</v>
      </c>
      <c r="HU10" s="283"/>
      <c r="HV10" s="284" t="s">
        <v>105</v>
      </c>
      <c r="HW10" s="283"/>
      <c r="HX10" s="284" t="s">
        <v>93</v>
      </c>
      <c r="IA10" s="287"/>
      <c r="IB10" s="282" t="s">
        <v>256</v>
      </c>
      <c r="IC10" s="283"/>
      <c r="ID10" s="284" t="s">
        <v>105</v>
      </c>
      <c r="IE10" s="283"/>
      <c r="IF10" s="284" t="s">
        <v>93</v>
      </c>
    </row>
    <row r="11" spans="1:240" x14ac:dyDescent="0.25">
      <c r="A11" s="392" t="s">
        <v>43</v>
      </c>
      <c r="C11" s="288"/>
      <c r="D11" s="284" t="s">
        <v>40</v>
      </c>
      <c r="E11" s="284" t="s">
        <v>105</v>
      </c>
      <c r="F11" s="284" t="s">
        <v>52</v>
      </c>
      <c r="G11" s="284" t="s">
        <v>93</v>
      </c>
      <c r="H11" s="284" t="s">
        <v>52</v>
      </c>
      <c r="I11" s="392" t="s">
        <v>43</v>
      </c>
      <c r="J11" s="288"/>
      <c r="K11" s="288"/>
      <c r="L11" s="284" t="s">
        <v>40</v>
      </c>
      <c r="M11" s="284" t="s">
        <v>105</v>
      </c>
      <c r="N11" s="284" t="s">
        <v>52</v>
      </c>
      <c r="O11" s="284" t="s">
        <v>93</v>
      </c>
      <c r="P11" s="284" t="s">
        <v>52</v>
      </c>
      <c r="Q11" s="392" t="s">
        <v>43</v>
      </c>
      <c r="S11" s="288"/>
      <c r="T11" s="284" t="s">
        <v>40</v>
      </c>
      <c r="U11" s="284" t="s">
        <v>105</v>
      </c>
      <c r="V11" s="284" t="s">
        <v>52</v>
      </c>
      <c r="W11" s="284" t="s">
        <v>93</v>
      </c>
      <c r="X11" s="284" t="s">
        <v>52</v>
      </c>
      <c r="Y11" s="392" t="s">
        <v>43</v>
      </c>
      <c r="Z11" s="288"/>
      <c r="AA11" s="288"/>
      <c r="AB11" s="284" t="s">
        <v>40</v>
      </c>
      <c r="AC11" s="284" t="s">
        <v>105</v>
      </c>
      <c r="AD11" s="284" t="s">
        <v>52</v>
      </c>
      <c r="AE11" s="284" t="s">
        <v>93</v>
      </c>
      <c r="AF11" s="284" t="s">
        <v>52</v>
      </c>
      <c r="AG11" s="392" t="s">
        <v>43</v>
      </c>
      <c r="AI11" s="288"/>
      <c r="AJ11" s="284" t="s">
        <v>40</v>
      </c>
      <c r="AK11" s="284" t="s">
        <v>105</v>
      </c>
      <c r="AL11" s="284" t="s">
        <v>52</v>
      </c>
      <c r="AM11" s="284" t="s">
        <v>93</v>
      </c>
      <c r="AN11" s="284" t="s">
        <v>52</v>
      </c>
      <c r="AO11" s="392" t="s">
        <v>43</v>
      </c>
      <c r="AP11" s="288"/>
      <c r="AQ11" s="288"/>
      <c r="AR11" s="284" t="s">
        <v>40</v>
      </c>
      <c r="AS11" s="284" t="s">
        <v>105</v>
      </c>
      <c r="AT11" s="284" t="s">
        <v>52</v>
      </c>
      <c r="AU11" s="284" t="s">
        <v>93</v>
      </c>
      <c r="AV11" s="284" t="s">
        <v>52</v>
      </c>
      <c r="AW11" s="16" t="s">
        <v>43</v>
      </c>
      <c r="AX11" s="16"/>
      <c r="AY11" s="288"/>
      <c r="AZ11" s="284" t="s">
        <v>40</v>
      </c>
      <c r="BA11" s="284" t="s">
        <v>105</v>
      </c>
      <c r="BB11" s="284" t="s">
        <v>52</v>
      </c>
      <c r="BC11" s="284" t="s">
        <v>93</v>
      </c>
      <c r="BD11" s="284" t="s">
        <v>52</v>
      </c>
      <c r="BE11" s="16" t="s">
        <v>43</v>
      </c>
      <c r="BF11" s="16"/>
      <c r="BG11" s="291"/>
      <c r="BH11" s="284" t="s">
        <v>40</v>
      </c>
      <c r="BI11" s="284" t="s">
        <v>105</v>
      </c>
      <c r="BJ11" s="284" t="s">
        <v>52</v>
      </c>
      <c r="BK11" s="284" t="s">
        <v>93</v>
      </c>
      <c r="BL11" s="284" t="s">
        <v>52</v>
      </c>
      <c r="BM11" s="298" t="s">
        <v>43</v>
      </c>
      <c r="BN11" s="291"/>
      <c r="BO11" s="291"/>
      <c r="BP11" s="284" t="s">
        <v>40</v>
      </c>
      <c r="BQ11" s="284" t="s">
        <v>105</v>
      </c>
      <c r="BR11" s="284" t="s">
        <v>52</v>
      </c>
      <c r="BS11" s="284" t="s">
        <v>93</v>
      </c>
      <c r="BT11" s="284" t="s">
        <v>52</v>
      </c>
      <c r="BU11" s="392" t="s">
        <v>43</v>
      </c>
      <c r="BW11" s="291"/>
      <c r="BX11" s="284" t="s">
        <v>40</v>
      </c>
      <c r="BY11" s="284" t="s">
        <v>105</v>
      </c>
      <c r="BZ11" s="284" t="s">
        <v>52</v>
      </c>
      <c r="CA11" s="284" t="s">
        <v>93</v>
      </c>
      <c r="CB11" s="284" t="s">
        <v>52</v>
      </c>
      <c r="CC11" s="392" t="s">
        <v>43</v>
      </c>
      <c r="CD11" s="393"/>
      <c r="CE11" s="291"/>
      <c r="CF11" s="284" t="s">
        <v>40</v>
      </c>
      <c r="CG11" s="284" t="s">
        <v>105</v>
      </c>
      <c r="CH11" s="284" t="s">
        <v>52</v>
      </c>
      <c r="CI11" s="284" t="s">
        <v>93</v>
      </c>
      <c r="CJ11" s="284" t="s">
        <v>52</v>
      </c>
      <c r="CK11" s="392" t="s">
        <v>43</v>
      </c>
      <c r="CL11" s="288"/>
      <c r="CM11" s="291"/>
      <c r="CN11" s="284" t="s">
        <v>40</v>
      </c>
      <c r="CO11" s="284" t="s">
        <v>105</v>
      </c>
      <c r="CP11" s="284" t="s">
        <v>52</v>
      </c>
      <c r="CQ11" s="284" t="s">
        <v>93</v>
      </c>
      <c r="CR11" s="284" t="s">
        <v>52</v>
      </c>
      <c r="CS11" s="392" t="s">
        <v>43</v>
      </c>
      <c r="CT11" s="288"/>
      <c r="CU11" s="291"/>
      <c r="CV11" s="284" t="s">
        <v>40</v>
      </c>
      <c r="CW11" s="284" t="s">
        <v>105</v>
      </c>
      <c r="CX11" s="284" t="s">
        <v>52</v>
      </c>
      <c r="CY11" s="284" t="s">
        <v>93</v>
      </c>
      <c r="CZ11" s="284" t="s">
        <v>52</v>
      </c>
      <c r="DA11" s="394" t="s">
        <v>43</v>
      </c>
      <c r="DB11" s="395"/>
      <c r="DC11" s="291"/>
      <c r="DD11" s="284" t="s">
        <v>40</v>
      </c>
      <c r="DE11" s="284" t="s">
        <v>105</v>
      </c>
      <c r="DF11" s="284" t="s">
        <v>52</v>
      </c>
      <c r="DG11" s="284" t="s">
        <v>93</v>
      </c>
      <c r="DH11" s="284" t="s">
        <v>52</v>
      </c>
      <c r="DI11" s="16" t="s">
        <v>43</v>
      </c>
      <c r="DJ11" s="361"/>
      <c r="DK11" s="291"/>
      <c r="DL11" s="284" t="s">
        <v>40</v>
      </c>
      <c r="DM11" s="284" t="s">
        <v>105</v>
      </c>
      <c r="DN11" s="284" t="s">
        <v>52</v>
      </c>
      <c r="DO11" s="284" t="s">
        <v>93</v>
      </c>
      <c r="DP11" s="284" t="s">
        <v>52</v>
      </c>
      <c r="DQ11" s="16" t="s">
        <v>43</v>
      </c>
      <c r="DR11" s="361"/>
      <c r="DS11" s="291"/>
      <c r="DT11" s="284" t="s">
        <v>40</v>
      </c>
      <c r="DU11" s="284" t="s">
        <v>105</v>
      </c>
      <c r="DV11" s="284" t="s">
        <v>52</v>
      </c>
      <c r="DW11" s="284" t="s">
        <v>93</v>
      </c>
      <c r="DX11" s="284" t="s">
        <v>52</v>
      </c>
      <c r="DY11" s="289" t="s">
        <v>43</v>
      </c>
      <c r="DZ11" s="288"/>
      <c r="EA11" s="288"/>
      <c r="EB11" s="284" t="s">
        <v>40</v>
      </c>
      <c r="EC11" s="284" t="s">
        <v>105</v>
      </c>
      <c r="ED11" s="284" t="s">
        <v>52</v>
      </c>
      <c r="EE11" s="284" t="s">
        <v>93</v>
      </c>
      <c r="EF11" s="284" t="s">
        <v>52</v>
      </c>
      <c r="EG11" s="284" t="s">
        <v>43</v>
      </c>
      <c r="EH11" s="395"/>
      <c r="EI11" s="395"/>
      <c r="EJ11" s="284" t="s">
        <v>40</v>
      </c>
      <c r="EK11" s="284" t="s">
        <v>105</v>
      </c>
      <c r="EL11" s="284" t="s">
        <v>52</v>
      </c>
      <c r="EM11" s="284" t="s">
        <v>93</v>
      </c>
      <c r="EN11" s="284" t="s">
        <v>52</v>
      </c>
      <c r="EO11" s="284" t="s">
        <v>43</v>
      </c>
      <c r="EQ11" s="395"/>
      <c r="ER11" s="284" t="s">
        <v>40</v>
      </c>
      <c r="ES11" s="284" t="s">
        <v>105</v>
      </c>
      <c r="ET11" s="284" t="s">
        <v>52</v>
      </c>
      <c r="EU11" s="284" t="s">
        <v>93</v>
      </c>
      <c r="EV11" s="284" t="s">
        <v>52</v>
      </c>
      <c r="EW11" s="392" t="s">
        <v>43</v>
      </c>
      <c r="EX11" s="288"/>
      <c r="EY11" s="291"/>
      <c r="EZ11" s="284" t="s">
        <v>40</v>
      </c>
      <c r="FA11" s="284" t="s">
        <v>105</v>
      </c>
      <c r="FB11" s="284" t="s">
        <v>52</v>
      </c>
      <c r="FC11" s="284" t="s">
        <v>93</v>
      </c>
      <c r="FD11" s="284" t="s">
        <v>52</v>
      </c>
      <c r="FE11" s="284" t="s">
        <v>43</v>
      </c>
      <c r="FF11" s="396"/>
      <c r="FG11" s="288"/>
      <c r="FH11" s="284" t="s">
        <v>40</v>
      </c>
      <c r="FI11" s="284" t="s">
        <v>105</v>
      </c>
      <c r="FJ11" s="284" t="s">
        <v>52</v>
      </c>
      <c r="FK11" s="284" t="s">
        <v>93</v>
      </c>
      <c r="FL11" s="284" t="s">
        <v>52</v>
      </c>
      <c r="FM11" s="392" t="s">
        <v>43</v>
      </c>
      <c r="FN11" s="288"/>
      <c r="FO11" s="291"/>
      <c r="FP11" s="284" t="s">
        <v>40</v>
      </c>
      <c r="FQ11" s="284" t="s">
        <v>105</v>
      </c>
      <c r="FR11" s="284" t="s">
        <v>52</v>
      </c>
      <c r="FS11" s="284" t="s">
        <v>93</v>
      </c>
      <c r="FT11" s="284" t="s">
        <v>52</v>
      </c>
      <c r="FU11" s="392" t="s">
        <v>43</v>
      </c>
      <c r="FV11" s="288"/>
      <c r="FW11" s="291"/>
      <c r="FX11" s="284" t="s">
        <v>40</v>
      </c>
      <c r="FY11" s="284" t="s">
        <v>105</v>
      </c>
      <c r="FZ11" s="284" t="s">
        <v>52</v>
      </c>
      <c r="GA11" s="284" t="s">
        <v>93</v>
      </c>
      <c r="GB11" s="284" t="s">
        <v>52</v>
      </c>
      <c r="GC11" s="392" t="s">
        <v>43</v>
      </c>
      <c r="GD11" s="288"/>
      <c r="GE11" s="291"/>
      <c r="GF11" s="284" t="s">
        <v>40</v>
      </c>
      <c r="GG11" s="284" t="s">
        <v>105</v>
      </c>
      <c r="GH11" s="284" t="s">
        <v>52</v>
      </c>
      <c r="GI11" s="284" t="s">
        <v>93</v>
      </c>
      <c r="GJ11" s="284" t="s">
        <v>52</v>
      </c>
      <c r="GK11" s="392" t="s">
        <v>43</v>
      </c>
      <c r="GL11" s="288"/>
      <c r="GM11" s="291"/>
      <c r="GN11" s="284" t="s">
        <v>40</v>
      </c>
      <c r="GO11" s="284" t="s">
        <v>105</v>
      </c>
      <c r="GP11" s="284" t="s">
        <v>52</v>
      </c>
      <c r="GQ11" s="284" t="s">
        <v>93</v>
      </c>
      <c r="GR11" s="284" t="s">
        <v>52</v>
      </c>
      <c r="GS11" s="392" t="s">
        <v>43</v>
      </c>
      <c r="GT11" s="288"/>
      <c r="GU11" s="291"/>
      <c r="GV11" s="284" t="s">
        <v>40</v>
      </c>
      <c r="GW11" s="284" t="s">
        <v>105</v>
      </c>
      <c r="GX11" s="284" t="s">
        <v>52</v>
      </c>
      <c r="GY11" s="284" t="s">
        <v>93</v>
      </c>
      <c r="GZ11" s="284" t="s">
        <v>52</v>
      </c>
      <c r="HA11" s="392" t="s">
        <v>43</v>
      </c>
      <c r="HB11" s="288"/>
      <c r="HC11" s="291"/>
      <c r="HD11" s="284" t="s">
        <v>40</v>
      </c>
      <c r="HE11" s="284" t="s">
        <v>105</v>
      </c>
      <c r="HF11" s="284" t="s">
        <v>52</v>
      </c>
      <c r="HG11" s="284" t="s">
        <v>93</v>
      </c>
      <c r="HH11" s="284" t="s">
        <v>52</v>
      </c>
      <c r="HI11" s="392" t="s">
        <v>43</v>
      </c>
      <c r="HJ11" s="288"/>
      <c r="HK11" s="291"/>
      <c r="HL11" s="284" t="s">
        <v>40</v>
      </c>
      <c r="HM11" s="284" t="s">
        <v>105</v>
      </c>
      <c r="HN11" s="284" t="s">
        <v>52</v>
      </c>
      <c r="HO11" s="284" t="s">
        <v>93</v>
      </c>
      <c r="HP11" s="284" t="s">
        <v>52</v>
      </c>
      <c r="HQ11" s="392" t="s">
        <v>43</v>
      </c>
      <c r="HR11" s="288"/>
      <c r="HS11" s="291"/>
      <c r="HT11" s="284" t="s">
        <v>40</v>
      </c>
      <c r="HU11" s="284" t="s">
        <v>105</v>
      </c>
      <c r="HV11" s="284" t="s">
        <v>52</v>
      </c>
      <c r="HW11" s="284" t="s">
        <v>93</v>
      </c>
      <c r="HX11" s="284" t="s">
        <v>52</v>
      </c>
      <c r="HY11" s="392" t="s">
        <v>43</v>
      </c>
      <c r="HZ11" s="288"/>
      <c r="IA11" s="291"/>
      <c r="IB11" s="284" t="s">
        <v>40</v>
      </c>
      <c r="IC11" s="284" t="s">
        <v>105</v>
      </c>
      <c r="ID11" s="284" t="s">
        <v>52</v>
      </c>
      <c r="IE11" s="284" t="s">
        <v>93</v>
      </c>
      <c r="IF11" s="284" t="s">
        <v>52</v>
      </c>
    </row>
    <row r="12" spans="1:240" ht="13.8" x14ac:dyDescent="0.25">
      <c r="A12" s="294" t="s">
        <v>44</v>
      </c>
      <c r="B12" s="36" t="s">
        <v>73</v>
      </c>
      <c r="C12" s="293" t="s">
        <v>254</v>
      </c>
      <c r="D12" s="184" t="s">
        <v>257</v>
      </c>
      <c r="E12" s="294" t="s">
        <v>258</v>
      </c>
      <c r="F12" s="184" t="s">
        <v>259</v>
      </c>
      <c r="G12" s="294" t="s">
        <v>260</v>
      </c>
      <c r="H12" s="184" t="s">
        <v>261</v>
      </c>
      <c r="I12" s="292" t="s">
        <v>44</v>
      </c>
      <c r="J12" s="36" t="s">
        <v>73</v>
      </c>
      <c r="K12" s="293" t="s">
        <v>254</v>
      </c>
      <c r="L12" s="36" t="s">
        <v>257</v>
      </c>
      <c r="M12" s="294" t="s">
        <v>258</v>
      </c>
      <c r="N12" s="36" t="s">
        <v>259</v>
      </c>
      <c r="O12" s="294" t="s">
        <v>260</v>
      </c>
      <c r="P12" s="36" t="s">
        <v>261</v>
      </c>
      <c r="Q12" s="294" t="s">
        <v>44</v>
      </c>
      <c r="R12" s="36" t="s">
        <v>73</v>
      </c>
      <c r="S12" s="293" t="s">
        <v>254</v>
      </c>
      <c r="T12" s="36" t="s">
        <v>257</v>
      </c>
      <c r="U12" s="294" t="s">
        <v>258</v>
      </c>
      <c r="V12" s="36" t="s">
        <v>259</v>
      </c>
      <c r="W12" s="294" t="s">
        <v>260</v>
      </c>
      <c r="X12" s="36" t="s">
        <v>261</v>
      </c>
      <c r="Y12" s="292" t="s">
        <v>44</v>
      </c>
      <c r="Z12" s="36" t="s">
        <v>73</v>
      </c>
      <c r="AA12" s="293" t="s">
        <v>254</v>
      </c>
      <c r="AB12" s="36" t="s">
        <v>257</v>
      </c>
      <c r="AC12" s="294" t="s">
        <v>258</v>
      </c>
      <c r="AD12" s="36" t="s">
        <v>259</v>
      </c>
      <c r="AE12" s="294" t="s">
        <v>260</v>
      </c>
      <c r="AF12" s="36" t="s">
        <v>261</v>
      </c>
      <c r="AG12" s="294" t="s">
        <v>44</v>
      </c>
      <c r="AH12" s="397" t="s">
        <v>73</v>
      </c>
      <c r="AI12" s="293" t="s">
        <v>254</v>
      </c>
      <c r="AJ12" s="36" t="s">
        <v>257</v>
      </c>
      <c r="AK12" s="294" t="s">
        <v>258</v>
      </c>
      <c r="AL12" s="36" t="s">
        <v>259</v>
      </c>
      <c r="AM12" s="294" t="s">
        <v>260</v>
      </c>
      <c r="AN12" s="36" t="s">
        <v>261</v>
      </c>
      <c r="AO12" s="292" t="s">
        <v>44</v>
      </c>
      <c r="AP12" s="398" t="s">
        <v>73</v>
      </c>
      <c r="AQ12" s="293" t="s">
        <v>254</v>
      </c>
      <c r="AR12" s="36" t="s">
        <v>257</v>
      </c>
      <c r="AS12" s="294" t="s">
        <v>258</v>
      </c>
      <c r="AT12" s="36" t="s">
        <v>259</v>
      </c>
      <c r="AU12" s="294" t="s">
        <v>260</v>
      </c>
      <c r="AV12" s="36" t="s">
        <v>261</v>
      </c>
      <c r="AW12" s="36" t="s">
        <v>44</v>
      </c>
      <c r="AX12" s="36" t="s">
        <v>73</v>
      </c>
      <c r="AY12" s="293" t="s">
        <v>254</v>
      </c>
      <c r="AZ12" s="36" t="s">
        <v>257</v>
      </c>
      <c r="BA12" s="294" t="s">
        <v>258</v>
      </c>
      <c r="BB12" s="36" t="s">
        <v>259</v>
      </c>
      <c r="BC12" s="294" t="s">
        <v>260</v>
      </c>
      <c r="BD12" s="36" t="s">
        <v>261</v>
      </c>
      <c r="BE12" s="36" t="s">
        <v>44</v>
      </c>
      <c r="BF12" s="36" t="s">
        <v>73</v>
      </c>
      <c r="BG12" s="297" t="s">
        <v>254</v>
      </c>
      <c r="BH12" s="36" t="s">
        <v>257</v>
      </c>
      <c r="BI12" s="294" t="s">
        <v>258</v>
      </c>
      <c r="BJ12" s="36" t="s">
        <v>259</v>
      </c>
      <c r="BK12" s="294" t="s">
        <v>260</v>
      </c>
      <c r="BL12" s="36" t="s">
        <v>261</v>
      </c>
      <c r="BM12" s="36" t="s">
        <v>44</v>
      </c>
      <c r="BN12" s="399" t="s">
        <v>73</v>
      </c>
      <c r="BO12" s="297" t="s">
        <v>254</v>
      </c>
      <c r="BP12" s="36" t="s">
        <v>257</v>
      </c>
      <c r="BQ12" s="294" t="s">
        <v>258</v>
      </c>
      <c r="BR12" s="36" t="s">
        <v>259</v>
      </c>
      <c r="BS12" s="294" t="s">
        <v>260</v>
      </c>
      <c r="BT12" s="36" t="s">
        <v>261</v>
      </c>
      <c r="BU12" s="292" t="s">
        <v>44</v>
      </c>
      <c r="BV12" s="400" t="s">
        <v>73</v>
      </c>
      <c r="BW12" s="297" t="s">
        <v>254</v>
      </c>
      <c r="BX12" s="36" t="s">
        <v>257</v>
      </c>
      <c r="BY12" s="294" t="s">
        <v>258</v>
      </c>
      <c r="BZ12" s="36" t="s">
        <v>259</v>
      </c>
      <c r="CA12" s="294" t="s">
        <v>260</v>
      </c>
      <c r="CB12" s="36" t="s">
        <v>261</v>
      </c>
      <c r="CC12" s="294" t="s">
        <v>44</v>
      </c>
      <c r="CD12" s="401" t="s">
        <v>73</v>
      </c>
      <c r="CE12" s="297" t="s">
        <v>254</v>
      </c>
      <c r="CF12" s="184" t="s">
        <v>257</v>
      </c>
      <c r="CG12" s="294" t="s">
        <v>258</v>
      </c>
      <c r="CH12" s="184" t="s">
        <v>259</v>
      </c>
      <c r="CI12" s="294" t="s">
        <v>260</v>
      </c>
      <c r="CJ12" s="184" t="s">
        <v>261</v>
      </c>
      <c r="CK12" s="292" t="s">
        <v>44</v>
      </c>
      <c r="CL12" s="401" t="s">
        <v>73</v>
      </c>
      <c r="CM12" s="297" t="s">
        <v>254</v>
      </c>
      <c r="CN12" s="36" t="s">
        <v>257</v>
      </c>
      <c r="CO12" s="294" t="s">
        <v>258</v>
      </c>
      <c r="CP12" s="36" t="s">
        <v>259</v>
      </c>
      <c r="CQ12" s="294" t="s">
        <v>260</v>
      </c>
      <c r="CR12" s="36" t="s">
        <v>261</v>
      </c>
      <c r="CS12" s="292" t="s">
        <v>44</v>
      </c>
      <c r="CT12" s="36" t="s">
        <v>73</v>
      </c>
      <c r="CU12" s="297" t="s">
        <v>254</v>
      </c>
      <c r="CV12" s="36" t="s">
        <v>257</v>
      </c>
      <c r="CW12" s="294" t="s">
        <v>258</v>
      </c>
      <c r="CX12" s="36" t="s">
        <v>259</v>
      </c>
      <c r="CY12" s="294" t="s">
        <v>260</v>
      </c>
      <c r="CZ12" s="36" t="s">
        <v>261</v>
      </c>
      <c r="DA12" s="36" t="s">
        <v>44</v>
      </c>
      <c r="DB12" s="36" t="s">
        <v>73</v>
      </c>
      <c r="DC12" s="297" t="s">
        <v>254</v>
      </c>
      <c r="DD12" s="36" t="s">
        <v>257</v>
      </c>
      <c r="DE12" s="294" t="s">
        <v>258</v>
      </c>
      <c r="DF12" s="36" t="s">
        <v>259</v>
      </c>
      <c r="DG12" s="294" t="s">
        <v>260</v>
      </c>
      <c r="DH12" s="36" t="s">
        <v>261</v>
      </c>
      <c r="DI12" s="36" t="s">
        <v>44</v>
      </c>
      <c r="DJ12" s="402" t="s">
        <v>73</v>
      </c>
      <c r="DK12" s="297" t="s">
        <v>254</v>
      </c>
      <c r="DL12" s="36" t="s">
        <v>257</v>
      </c>
      <c r="DM12" s="294" t="s">
        <v>258</v>
      </c>
      <c r="DN12" s="36" t="s">
        <v>259</v>
      </c>
      <c r="DO12" s="294" t="s">
        <v>260</v>
      </c>
      <c r="DP12" s="36" t="s">
        <v>261</v>
      </c>
      <c r="DQ12" s="36" t="s">
        <v>44</v>
      </c>
      <c r="DR12" s="402" t="s">
        <v>73</v>
      </c>
      <c r="DS12" s="297" t="s">
        <v>254</v>
      </c>
      <c r="DT12" s="36" t="s">
        <v>257</v>
      </c>
      <c r="DU12" s="294" t="s">
        <v>258</v>
      </c>
      <c r="DV12" s="36" t="s">
        <v>259</v>
      </c>
      <c r="DW12" s="294" t="s">
        <v>260</v>
      </c>
      <c r="DX12" s="36" t="s">
        <v>261</v>
      </c>
      <c r="DY12" s="292" t="s">
        <v>44</v>
      </c>
      <c r="DZ12" s="36" t="s">
        <v>73</v>
      </c>
      <c r="EA12" s="36"/>
      <c r="EB12" s="36" t="s">
        <v>257</v>
      </c>
      <c r="EC12" s="294" t="s">
        <v>258</v>
      </c>
      <c r="ED12" s="36" t="s">
        <v>259</v>
      </c>
      <c r="EE12" s="294" t="s">
        <v>260</v>
      </c>
      <c r="EF12" s="36" t="s">
        <v>261</v>
      </c>
      <c r="EG12" s="294" t="s">
        <v>44</v>
      </c>
      <c r="EH12" s="36" t="s">
        <v>73</v>
      </c>
      <c r="EI12" s="402"/>
      <c r="EJ12" s="36" t="s">
        <v>257</v>
      </c>
      <c r="EK12" s="294" t="s">
        <v>258</v>
      </c>
      <c r="EL12" s="36" t="s">
        <v>259</v>
      </c>
      <c r="EM12" s="294" t="s">
        <v>260</v>
      </c>
      <c r="EN12" s="36" t="s">
        <v>261</v>
      </c>
      <c r="EO12" s="294" t="s">
        <v>44</v>
      </c>
      <c r="EP12" s="36" t="s">
        <v>73</v>
      </c>
      <c r="EQ12" s="185"/>
      <c r="ER12" s="36" t="s">
        <v>257</v>
      </c>
      <c r="ES12" s="294" t="s">
        <v>258</v>
      </c>
      <c r="ET12" s="36" t="s">
        <v>259</v>
      </c>
      <c r="EU12" s="294" t="s">
        <v>260</v>
      </c>
      <c r="EV12" s="36" t="s">
        <v>261</v>
      </c>
      <c r="EW12" s="292" t="s">
        <v>44</v>
      </c>
      <c r="EX12" s="36" t="s">
        <v>73</v>
      </c>
      <c r="EY12" s="297" t="s">
        <v>254</v>
      </c>
      <c r="EZ12" s="36" t="s">
        <v>257</v>
      </c>
      <c r="FA12" s="294" t="s">
        <v>258</v>
      </c>
      <c r="FB12" s="36" t="s">
        <v>259</v>
      </c>
      <c r="FC12" s="294" t="s">
        <v>260</v>
      </c>
      <c r="FD12" s="36" t="s">
        <v>261</v>
      </c>
      <c r="FE12" s="294" t="s">
        <v>44</v>
      </c>
      <c r="FF12" s="292" t="s">
        <v>73</v>
      </c>
      <c r="FG12" s="36"/>
      <c r="FH12" s="36" t="s">
        <v>257</v>
      </c>
      <c r="FI12" s="294" t="s">
        <v>258</v>
      </c>
      <c r="FJ12" s="36" t="s">
        <v>259</v>
      </c>
      <c r="FK12" s="294" t="s">
        <v>260</v>
      </c>
      <c r="FL12" s="36" t="s">
        <v>261</v>
      </c>
      <c r="FM12" s="292" t="s">
        <v>44</v>
      </c>
      <c r="FN12" s="401" t="s">
        <v>73</v>
      </c>
      <c r="FO12" s="297" t="s">
        <v>254</v>
      </c>
      <c r="FP12" s="36" t="s">
        <v>257</v>
      </c>
      <c r="FQ12" s="294" t="s">
        <v>258</v>
      </c>
      <c r="FR12" s="36" t="s">
        <v>259</v>
      </c>
      <c r="FS12" s="294" t="s">
        <v>260</v>
      </c>
      <c r="FT12" s="36" t="s">
        <v>261</v>
      </c>
      <c r="FU12" s="292" t="s">
        <v>44</v>
      </c>
      <c r="FV12" s="401" t="s">
        <v>73</v>
      </c>
      <c r="FW12" s="297" t="s">
        <v>254</v>
      </c>
      <c r="FX12" s="36" t="s">
        <v>257</v>
      </c>
      <c r="FY12" s="294" t="s">
        <v>258</v>
      </c>
      <c r="FZ12" s="36" t="s">
        <v>259</v>
      </c>
      <c r="GA12" s="294" t="s">
        <v>260</v>
      </c>
      <c r="GB12" s="36" t="s">
        <v>261</v>
      </c>
      <c r="GC12" s="292" t="s">
        <v>44</v>
      </c>
      <c r="GD12" s="401" t="s">
        <v>73</v>
      </c>
      <c r="GE12" s="297" t="s">
        <v>254</v>
      </c>
      <c r="GF12" s="36" t="s">
        <v>257</v>
      </c>
      <c r="GG12" s="294" t="s">
        <v>258</v>
      </c>
      <c r="GH12" s="36" t="s">
        <v>259</v>
      </c>
      <c r="GI12" s="294" t="s">
        <v>260</v>
      </c>
      <c r="GJ12" s="36" t="s">
        <v>261</v>
      </c>
      <c r="GK12" s="292" t="s">
        <v>44</v>
      </c>
      <c r="GL12" s="401" t="s">
        <v>73</v>
      </c>
      <c r="GM12" s="297" t="s">
        <v>254</v>
      </c>
      <c r="GN12" s="36" t="s">
        <v>257</v>
      </c>
      <c r="GO12" s="294" t="s">
        <v>258</v>
      </c>
      <c r="GP12" s="36" t="s">
        <v>259</v>
      </c>
      <c r="GQ12" s="294" t="s">
        <v>260</v>
      </c>
      <c r="GR12" s="36" t="s">
        <v>261</v>
      </c>
      <c r="GS12" s="292" t="s">
        <v>44</v>
      </c>
      <c r="GT12" s="401" t="s">
        <v>73</v>
      </c>
      <c r="GU12" s="297" t="s">
        <v>254</v>
      </c>
      <c r="GV12" s="36" t="s">
        <v>257</v>
      </c>
      <c r="GW12" s="294" t="s">
        <v>258</v>
      </c>
      <c r="GX12" s="36" t="s">
        <v>259</v>
      </c>
      <c r="GY12" s="294" t="s">
        <v>260</v>
      </c>
      <c r="GZ12" s="36" t="s">
        <v>261</v>
      </c>
      <c r="HA12" s="292" t="s">
        <v>44</v>
      </c>
      <c r="HB12" s="401" t="s">
        <v>73</v>
      </c>
      <c r="HC12" s="297" t="s">
        <v>254</v>
      </c>
      <c r="HD12" s="36" t="s">
        <v>257</v>
      </c>
      <c r="HE12" s="294" t="s">
        <v>258</v>
      </c>
      <c r="HF12" s="36" t="s">
        <v>259</v>
      </c>
      <c r="HG12" s="294" t="s">
        <v>260</v>
      </c>
      <c r="HH12" s="36" t="s">
        <v>261</v>
      </c>
      <c r="HI12" s="292" t="s">
        <v>44</v>
      </c>
      <c r="HJ12" s="401" t="s">
        <v>73</v>
      </c>
      <c r="HK12" s="297" t="s">
        <v>254</v>
      </c>
      <c r="HL12" s="36" t="s">
        <v>257</v>
      </c>
      <c r="HM12" s="294" t="s">
        <v>258</v>
      </c>
      <c r="HN12" s="36" t="s">
        <v>259</v>
      </c>
      <c r="HO12" s="294" t="s">
        <v>260</v>
      </c>
      <c r="HP12" s="36" t="s">
        <v>261</v>
      </c>
      <c r="HQ12" s="292" t="s">
        <v>44</v>
      </c>
      <c r="HR12" s="401" t="s">
        <v>73</v>
      </c>
      <c r="HS12" s="297" t="s">
        <v>254</v>
      </c>
      <c r="HT12" s="36" t="s">
        <v>257</v>
      </c>
      <c r="HU12" s="294" t="s">
        <v>258</v>
      </c>
      <c r="HV12" s="36" t="s">
        <v>259</v>
      </c>
      <c r="HW12" s="294" t="s">
        <v>260</v>
      </c>
      <c r="HX12" s="36" t="s">
        <v>261</v>
      </c>
      <c r="HY12" s="292" t="s">
        <v>44</v>
      </c>
      <c r="HZ12" s="401" t="s">
        <v>73</v>
      </c>
      <c r="IA12" s="297" t="s">
        <v>254</v>
      </c>
      <c r="IB12" s="36" t="s">
        <v>257</v>
      </c>
      <c r="IC12" s="294" t="s">
        <v>258</v>
      </c>
      <c r="ID12" s="36" t="s">
        <v>259</v>
      </c>
      <c r="IE12" s="294" t="s">
        <v>260</v>
      </c>
      <c r="IF12" s="36" t="s">
        <v>261</v>
      </c>
    </row>
    <row r="13" spans="1:240" ht="13.8" x14ac:dyDescent="0.25">
      <c r="A13" s="266">
        <v>1</v>
      </c>
      <c r="B13" s="403" t="s">
        <v>1</v>
      </c>
      <c r="I13" s="7">
        <v>1</v>
      </c>
      <c r="Y13" s="404"/>
      <c r="Z13" s="405"/>
      <c r="AO13" s="282"/>
      <c r="AP13" s="311"/>
      <c r="AQ13" s="311"/>
      <c r="AW13" s="298"/>
      <c r="AX13" s="298"/>
      <c r="AY13" s="298"/>
      <c r="BE13" s="298"/>
      <c r="BF13" s="298"/>
      <c r="BG13" s="298"/>
      <c r="BM13" s="367"/>
      <c r="BN13" s="367"/>
      <c r="BO13" s="367"/>
      <c r="CK13" s="298"/>
      <c r="CL13" s="298"/>
      <c r="CM13" s="298"/>
      <c r="CN13" s="298"/>
      <c r="CO13" s="298"/>
      <c r="CP13" s="298"/>
      <c r="CQ13" s="298"/>
      <c r="CR13" s="298"/>
      <c r="CS13" s="1"/>
      <c r="CT13" s="1"/>
      <c r="CU13" s="1"/>
      <c r="DA13" s="345"/>
      <c r="DB13" s="345"/>
      <c r="DC13" s="1"/>
      <c r="DQ13" s="320"/>
      <c r="DR13" s="320"/>
      <c r="DS13" s="320"/>
      <c r="DT13" s="301"/>
      <c r="DU13" s="301"/>
      <c r="DV13" s="301"/>
      <c r="DW13" s="301"/>
      <c r="DX13" s="301"/>
      <c r="DY13" s="1"/>
      <c r="DZ13" s="1"/>
      <c r="EA13" s="1"/>
      <c r="EB13" s="1"/>
      <c r="EC13" s="1"/>
      <c r="EG13" s="1"/>
      <c r="EH13" s="406" t="s">
        <v>32</v>
      </c>
      <c r="EO13" s="1"/>
      <c r="FE13" s="1"/>
      <c r="FF13" s="1"/>
      <c r="FG13" s="1"/>
      <c r="FH13" s="1"/>
      <c r="FI13" s="1"/>
      <c r="FJ13" s="1"/>
      <c r="FK13" s="1"/>
      <c r="FL13" s="1"/>
    </row>
    <row r="14" spans="1:240" ht="13.8" x14ac:dyDescent="0.25">
      <c r="A14" s="407">
        <v>2</v>
      </c>
      <c r="B14" s="344" t="s">
        <v>354</v>
      </c>
      <c r="C14" s="1"/>
      <c r="D14" s="662" t="s">
        <v>499</v>
      </c>
      <c r="E14" s="662"/>
      <c r="F14" s="330">
        <v>5983138.4299999997</v>
      </c>
      <c r="G14" s="664" t="s">
        <v>499</v>
      </c>
      <c r="H14" s="408">
        <v>0</v>
      </c>
      <c r="I14" s="266">
        <f t="shared" ref="I14:I32" si="0">I13+1</f>
        <v>2</v>
      </c>
      <c r="J14" s="409" t="s">
        <v>370</v>
      </c>
      <c r="K14" s="266"/>
      <c r="L14" s="410">
        <v>20655081094.767998</v>
      </c>
      <c r="M14" s="410">
        <v>20822537329.978706</v>
      </c>
      <c r="N14" s="410">
        <v>167456235.21070886</v>
      </c>
      <c r="O14" s="410">
        <v>20822537329.978706</v>
      </c>
      <c r="P14" s="410">
        <f>O14-M14</f>
        <v>0</v>
      </c>
      <c r="Q14" s="266">
        <v>1</v>
      </c>
      <c r="R14" s="316" t="s">
        <v>146</v>
      </c>
      <c r="S14" s="316"/>
      <c r="T14" s="411">
        <v>22841555.030000001</v>
      </c>
      <c r="U14" s="411">
        <v>119744801.76152284</v>
      </c>
      <c r="V14" s="411">
        <f>U14-T14</f>
        <v>96903246.731522843</v>
      </c>
      <c r="W14" s="411">
        <f>U14</f>
        <v>119744801.76152284</v>
      </c>
      <c r="X14" s="411">
        <f>W14-U14</f>
        <v>0</v>
      </c>
      <c r="Y14" s="266">
        <v>1</v>
      </c>
      <c r="Z14" s="405" t="s">
        <v>30</v>
      </c>
      <c r="AB14" s="411">
        <v>0</v>
      </c>
      <c r="AC14" s="643">
        <f>+Summary!E59</f>
        <v>5361846611.3354149</v>
      </c>
      <c r="AD14" s="643">
        <f>+Summary!E59</f>
        <v>5361846611.3354149</v>
      </c>
      <c r="AE14" s="643">
        <f>+Summary!G59</f>
        <v>5510161280.5417719</v>
      </c>
      <c r="AF14" s="643">
        <f>+AE14-AC14</f>
        <v>148314669.206357</v>
      </c>
      <c r="AG14" s="407">
        <f t="shared" ref="AG14:AG51" si="1">+AG13+1</f>
        <v>1</v>
      </c>
      <c r="AH14" s="412" t="s">
        <v>130</v>
      </c>
      <c r="AO14" s="266">
        <v>1</v>
      </c>
      <c r="AP14" s="12" t="s">
        <v>157</v>
      </c>
      <c r="AQ14" s="12"/>
      <c r="AR14" s="12">
        <v>510000</v>
      </c>
      <c r="AS14" s="12">
        <v>220833.33333333334</v>
      </c>
      <c r="AT14" s="12">
        <f>AS14-AR14</f>
        <v>-289166.66666666663</v>
      </c>
      <c r="AU14" s="8">
        <f>+AS14</f>
        <v>220833.33333333334</v>
      </c>
      <c r="AV14" s="12">
        <f>+AU14-AS14</f>
        <v>0</v>
      </c>
      <c r="AW14" s="7">
        <v>1</v>
      </c>
      <c r="AX14" s="7"/>
      <c r="AY14" s="7"/>
      <c r="AZ14" s="304"/>
      <c r="BA14" s="12"/>
      <c r="BB14" s="12"/>
      <c r="BC14" s="12"/>
      <c r="BD14" s="12"/>
      <c r="BE14" s="7">
        <v>1</v>
      </c>
      <c r="BF14" s="11" t="s">
        <v>404</v>
      </c>
      <c r="BM14" s="413">
        <v>1</v>
      </c>
      <c r="BN14" s="414" t="s">
        <v>220</v>
      </c>
      <c r="BO14" s="414"/>
      <c r="BP14" s="415">
        <v>84579618.501786992</v>
      </c>
      <c r="BQ14" s="415">
        <v>84593680.499568984</v>
      </c>
      <c r="BR14" s="415">
        <f>BQ14-BP14</f>
        <v>14061.997781991959</v>
      </c>
      <c r="BS14" s="415">
        <v>84579618.501786992</v>
      </c>
      <c r="BT14" s="415">
        <f>BS14-BQ14</f>
        <v>-14061.997781991959</v>
      </c>
      <c r="BU14" s="7">
        <v>1</v>
      </c>
      <c r="BV14" s="320" t="s">
        <v>169</v>
      </c>
      <c r="BW14" s="316"/>
      <c r="BX14" s="416">
        <v>84154.734218343758</v>
      </c>
      <c r="BY14" s="416">
        <v>77444.18431150305</v>
      </c>
      <c r="BZ14" s="336">
        <f>+BY14-BX14</f>
        <v>-6710.549906840708</v>
      </c>
      <c r="CA14" s="8">
        <f>+BX14</f>
        <v>84154.734218343758</v>
      </c>
      <c r="CB14" s="336">
        <f>+CA14-BY14</f>
        <v>6710.549906840708</v>
      </c>
      <c r="CC14" s="302">
        <v>1</v>
      </c>
      <c r="CD14" s="372" t="s">
        <v>172</v>
      </c>
      <c r="CE14" s="372"/>
      <c r="CF14" s="8">
        <v>0</v>
      </c>
      <c r="CG14" s="8">
        <v>803909.33835699933</v>
      </c>
      <c r="CH14" s="8">
        <f>CG14-CF14</f>
        <v>803909.33835699933</v>
      </c>
      <c r="CI14" s="8">
        <f>CG14</f>
        <v>803909.33835699933</v>
      </c>
      <c r="CJ14" s="8">
        <f>CI14-CG14</f>
        <v>0</v>
      </c>
      <c r="CK14" s="7">
        <v>1</v>
      </c>
      <c r="CL14" s="300" t="s">
        <v>174</v>
      </c>
      <c r="CM14" s="300"/>
      <c r="CN14" s="304"/>
      <c r="CO14" s="12"/>
      <c r="CP14" s="12"/>
      <c r="CQ14" s="12"/>
      <c r="CR14" s="12"/>
      <c r="CS14" s="266">
        <v>1</v>
      </c>
      <c r="CT14" s="1" t="s">
        <v>180</v>
      </c>
      <c r="CU14" s="1"/>
      <c r="CV14" s="8">
        <v>4555764.4439206887</v>
      </c>
      <c r="CW14" s="8">
        <v>6740763.446346282</v>
      </c>
      <c r="CX14" s="8">
        <f>CW14-CV14</f>
        <v>2184999.0024255933</v>
      </c>
      <c r="CY14" s="8">
        <f>CW14</f>
        <v>6740763.446346282</v>
      </c>
      <c r="CZ14" s="8">
        <f>CY14-CW14</f>
        <v>0</v>
      </c>
      <c r="DA14" s="302">
        <v>1</v>
      </c>
      <c r="DB14" s="1" t="s">
        <v>177</v>
      </c>
      <c r="DC14" s="417"/>
      <c r="DD14" s="417">
        <v>3672711.9291196666</v>
      </c>
      <c r="DE14" s="417">
        <v>3488881.3959241672</v>
      </c>
      <c r="DF14" s="417">
        <f>DE14-DD14</f>
        <v>-183830.53319549933</v>
      </c>
      <c r="DG14" s="417">
        <v>4009178.2935778066</v>
      </c>
      <c r="DH14" s="417">
        <f>DG14-DE14</f>
        <v>520296.89765363932</v>
      </c>
      <c r="DI14" s="7">
        <v>1</v>
      </c>
      <c r="DJ14" s="418" t="s">
        <v>182</v>
      </c>
      <c r="DK14" s="320"/>
      <c r="DL14" s="8"/>
      <c r="DM14" s="8"/>
      <c r="DN14" s="336"/>
      <c r="DO14" s="8"/>
      <c r="DP14" s="8"/>
      <c r="DQ14" s="7">
        <v>1</v>
      </c>
      <c r="DR14" s="419" t="s">
        <v>396</v>
      </c>
      <c r="DT14" s="8"/>
      <c r="DU14" s="8"/>
      <c r="DV14" s="336"/>
      <c r="DW14" s="8"/>
      <c r="DX14" s="8"/>
      <c r="DY14" s="266">
        <v>1</v>
      </c>
      <c r="DZ14" s="420" t="s">
        <v>191</v>
      </c>
      <c r="EA14" s="421"/>
      <c r="EB14" s="421"/>
      <c r="EC14" s="421"/>
      <c r="EG14" s="266">
        <v>1</v>
      </c>
      <c r="EH14" s="422" t="s">
        <v>33</v>
      </c>
      <c r="EJ14" s="336">
        <v>10572466950.394854</v>
      </c>
      <c r="EK14" s="336">
        <v>10898545827.153294</v>
      </c>
      <c r="EL14" s="336">
        <f t="shared" ref="EL14:EL19" si="2">EK14-EJ14</f>
        <v>326078876.75844002</v>
      </c>
      <c r="EM14" s="336">
        <f t="shared" ref="EM14:EM19" si="3">EK14</f>
        <v>10898545827.153294</v>
      </c>
      <c r="EN14" s="336">
        <f t="shared" ref="EN14:EN19" si="4">EM14-EK14</f>
        <v>0</v>
      </c>
      <c r="EO14" s="266">
        <v>1</v>
      </c>
      <c r="EP14" s="422" t="s">
        <v>377</v>
      </c>
      <c r="ER14" s="417">
        <v>316437620.50999957</v>
      </c>
      <c r="ES14" s="417">
        <v>320871178.06530237</v>
      </c>
      <c r="ET14" s="417">
        <f>ES14-ER14</f>
        <v>4433557.5553027987</v>
      </c>
      <c r="EU14" s="417">
        <f>ES14</f>
        <v>320871178.06530237</v>
      </c>
      <c r="EV14" s="417">
        <f>EU14-ES14</f>
        <v>0</v>
      </c>
      <c r="EW14" s="7">
        <v>1</v>
      </c>
      <c r="EX14" s="6" t="s">
        <v>539</v>
      </c>
      <c r="EZ14" s="8"/>
      <c r="FA14" s="8"/>
      <c r="FB14" s="8"/>
      <c r="FC14" s="8"/>
      <c r="FD14" s="8"/>
      <c r="FE14" s="266">
        <v>1</v>
      </c>
      <c r="FF14" s="423"/>
      <c r="FG14" s="424"/>
      <c r="FH14" s="424"/>
      <c r="FI14" s="424"/>
      <c r="FJ14" s="425"/>
      <c r="FK14" s="426"/>
      <c r="FL14" s="426"/>
      <c r="FM14" s="266">
        <v>1</v>
      </c>
      <c r="FN14" s="309" t="s">
        <v>432</v>
      </c>
      <c r="FO14" s="309"/>
      <c r="FP14" s="427"/>
      <c r="FQ14" s="427"/>
      <c r="FR14" s="427"/>
      <c r="FS14" s="427"/>
      <c r="FT14" s="427"/>
      <c r="FU14" s="7">
        <v>1</v>
      </c>
      <c r="FV14" s="300"/>
      <c r="FW14" s="300"/>
      <c r="FX14" s="304"/>
      <c r="FY14" s="306"/>
      <c r="FZ14" s="306"/>
      <c r="GA14" s="306"/>
      <c r="GB14" s="306"/>
      <c r="GC14" s="313">
        <v>1</v>
      </c>
      <c r="GD14" s="309" t="s">
        <v>432</v>
      </c>
      <c r="GE14" s="309"/>
      <c r="GF14" s="427"/>
      <c r="GG14" s="427"/>
      <c r="GH14" s="427"/>
      <c r="GI14" s="427"/>
      <c r="GJ14" s="427"/>
      <c r="GK14" s="313">
        <v>1</v>
      </c>
      <c r="GL14" s="6" t="s">
        <v>342</v>
      </c>
      <c r="GS14" s="313">
        <v>1</v>
      </c>
      <c r="GT14" s="175" t="s">
        <v>451</v>
      </c>
      <c r="HA14" s="7">
        <v>1</v>
      </c>
      <c r="HB14" s="299" t="s">
        <v>263</v>
      </c>
      <c r="HG14" s="12"/>
      <c r="HI14" s="313">
        <v>1</v>
      </c>
      <c r="HJ14" s="316" t="s">
        <v>14</v>
      </c>
      <c r="HK14" s="8"/>
      <c r="HL14" s="8">
        <v>5059842.29</v>
      </c>
      <c r="HM14" s="8">
        <v>5059842.29</v>
      </c>
      <c r="HN14" s="8">
        <f>HM14-HL14</f>
        <v>0</v>
      </c>
      <c r="HO14" s="8">
        <v>5219050.7699999996</v>
      </c>
      <c r="HP14" s="8">
        <f>HO14-HM14</f>
        <v>159208.47999999952</v>
      </c>
      <c r="HQ14" s="313">
        <v>1</v>
      </c>
      <c r="HR14" s="1" t="s">
        <v>432</v>
      </c>
      <c r="HY14" s="313">
        <v>1</v>
      </c>
      <c r="HZ14" s="288" t="s">
        <v>432</v>
      </c>
      <c r="IA14" s="175"/>
      <c r="IB14" s="175"/>
      <c r="IC14" s="175"/>
      <c r="ID14" s="175"/>
      <c r="IE14" s="175"/>
      <c r="IF14" s="175"/>
    </row>
    <row r="15" spans="1:240" ht="13.8" x14ac:dyDescent="0.25">
      <c r="A15" s="407">
        <f t="shared" ref="A15:A53" si="5">A14+1</f>
        <v>3</v>
      </c>
      <c r="B15" s="344" t="s">
        <v>355</v>
      </c>
      <c r="C15" s="1"/>
      <c r="D15" s="662"/>
      <c r="E15" s="662"/>
      <c r="F15" s="328">
        <v>41885179.539999999</v>
      </c>
      <c r="G15" s="664"/>
      <c r="H15" s="328">
        <v>0</v>
      </c>
      <c r="I15" s="266">
        <f t="shared" si="0"/>
        <v>3</v>
      </c>
      <c r="J15" s="428"/>
      <c r="K15" s="429"/>
      <c r="L15" s="429"/>
      <c r="M15" s="429"/>
      <c r="N15" s="429"/>
      <c r="O15" s="429"/>
      <c r="P15" s="429"/>
      <c r="Q15" s="266">
        <f>Q14+1</f>
        <v>2</v>
      </c>
      <c r="R15" s="316" t="s">
        <v>147</v>
      </c>
      <c r="S15" s="316"/>
      <c r="T15" s="430">
        <v>38907707.560000002</v>
      </c>
      <c r="U15" s="328">
        <v>-43059885.72469534</v>
      </c>
      <c r="V15" s="430">
        <f>U15-T15</f>
        <v>-81967593.284695342</v>
      </c>
      <c r="W15" s="431">
        <f>U15</f>
        <v>-43059885.72469534</v>
      </c>
      <c r="X15" s="9">
        <f>W15-U15</f>
        <v>0</v>
      </c>
      <c r="Y15" s="266">
        <f t="shared" ref="Y15:Y22" si="6">Y14+1</f>
        <v>2</v>
      </c>
      <c r="Z15" s="405" t="s">
        <v>150</v>
      </c>
      <c r="AB15" s="19"/>
      <c r="AC15" s="19"/>
      <c r="AD15" s="19"/>
      <c r="AE15" s="19"/>
      <c r="AF15" s="19"/>
      <c r="AG15" s="407">
        <f t="shared" si="1"/>
        <v>2</v>
      </c>
      <c r="AH15" s="432" t="s">
        <v>131</v>
      </c>
      <c r="AJ15" s="196">
        <v>101866388.838</v>
      </c>
      <c r="AK15" s="196">
        <v>0</v>
      </c>
      <c r="AL15" s="196">
        <f t="shared" ref="AL15:AL27" si="7">AK15-AJ15</f>
        <v>-101866388.838</v>
      </c>
      <c r="AM15" s="196">
        <f t="shared" ref="AM15:AM27" si="8">+AK15</f>
        <v>0</v>
      </c>
      <c r="AN15" s="196">
        <f>+AM15-AK15</f>
        <v>0</v>
      </c>
      <c r="AO15" s="266">
        <f t="shared" ref="AO15:AO21" si="9">AO14+1</f>
        <v>2</v>
      </c>
      <c r="AP15" s="12" t="s">
        <v>158</v>
      </c>
      <c r="AQ15" s="12"/>
      <c r="AR15" s="433">
        <v>740336.86596767348</v>
      </c>
      <c r="AS15" s="433">
        <v>945203.0581214655</v>
      </c>
      <c r="AT15" s="433">
        <f>AS15-AR15</f>
        <v>204866.19215379201</v>
      </c>
      <c r="AU15" s="9">
        <f>+AS15</f>
        <v>945203.0581214655</v>
      </c>
      <c r="AV15" s="187">
        <f>+AU15-AS15</f>
        <v>0</v>
      </c>
      <c r="AW15" s="7">
        <f>AW14+1</f>
        <v>2</v>
      </c>
      <c r="AX15" s="320" t="s">
        <v>255</v>
      </c>
      <c r="AY15" s="434">
        <v>8.4790000000000004E-3</v>
      </c>
      <c r="AZ15" s="310">
        <v>18742755.935488999</v>
      </c>
      <c r="BA15" s="310">
        <v>18359017</v>
      </c>
      <c r="BB15" s="310">
        <f>BA15-AZ15</f>
        <v>-383738.93548899889</v>
      </c>
      <c r="BC15" s="12">
        <f>BA15</f>
        <v>18359017</v>
      </c>
      <c r="BD15" s="12">
        <f>BC15-BA15</f>
        <v>0</v>
      </c>
      <c r="BE15" s="7">
        <f t="shared" ref="BE15:BE29" si="10">BE14+1</f>
        <v>2</v>
      </c>
      <c r="BF15" s="435" t="s">
        <v>117</v>
      </c>
      <c r="BH15" s="415">
        <v>527768.06156201533</v>
      </c>
      <c r="BI15" s="415">
        <v>514838.73941173131</v>
      </c>
      <c r="BJ15" s="415">
        <v>-12929.322150284017</v>
      </c>
      <c r="BK15" s="415">
        <v>514838.73941173131</v>
      </c>
      <c r="BL15" s="415">
        <v>0</v>
      </c>
      <c r="BM15" s="413">
        <v>2</v>
      </c>
      <c r="BN15" s="414" t="s">
        <v>221</v>
      </c>
      <c r="BO15" s="414"/>
      <c r="BP15" s="13">
        <v>4669751.78</v>
      </c>
      <c r="BQ15" s="13">
        <v>4564759.7001399994</v>
      </c>
      <c r="BR15" s="192">
        <f>BQ15-BP15</f>
        <v>-104992.07986000087</v>
      </c>
      <c r="BS15" s="13">
        <v>4669751.78</v>
      </c>
      <c r="BT15" s="186">
        <f>BS15-BQ15</f>
        <v>104992.07986000087</v>
      </c>
      <c r="BU15" s="7">
        <f t="shared" ref="BU15:BU21" si="11">BU14+1</f>
        <v>2</v>
      </c>
      <c r="BV15" s="320"/>
      <c r="BW15" s="316"/>
      <c r="BX15" s="436"/>
      <c r="BY15" s="436"/>
      <c r="BZ15" s="437"/>
      <c r="CA15" s="10"/>
      <c r="CB15" s="437"/>
      <c r="CC15" s="302">
        <f>CC14+1</f>
        <v>2</v>
      </c>
      <c r="CD15" s="1"/>
      <c r="CE15" s="1"/>
      <c r="CF15" s="1"/>
      <c r="CG15" s="1"/>
      <c r="CH15" s="1"/>
      <c r="CK15" s="7">
        <f t="shared" ref="CK15:CK23" si="12">+CK14+1</f>
        <v>2</v>
      </c>
      <c r="CL15" s="317" t="s">
        <v>213</v>
      </c>
      <c r="CM15" s="317"/>
      <c r="CN15" s="192"/>
      <c r="CO15" s="192"/>
      <c r="CP15" s="192"/>
      <c r="CQ15" s="192"/>
      <c r="CR15" s="192"/>
      <c r="CS15" s="266">
        <f>CS14+1</f>
        <v>2</v>
      </c>
      <c r="CT15" s="316" t="s">
        <v>120</v>
      </c>
      <c r="CU15" s="316"/>
      <c r="CV15" s="438">
        <f>SUM(CV14:CV14)</f>
        <v>4555764.4439206887</v>
      </c>
      <c r="CW15" s="438">
        <f>SUM(CW14:CW14)</f>
        <v>6740763.446346282</v>
      </c>
      <c r="CX15" s="438">
        <f>SUM(CX14:CX14)</f>
        <v>2184999.0024255933</v>
      </c>
      <c r="CY15" s="438">
        <f>SUM(CY14)</f>
        <v>6740763.446346282</v>
      </c>
      <c r="CZ15" s="438">
        <f>SUM(CZ14)</f>
        <v>0</v>
      </c>
      <c r="DA15" s="302">
        <f>DA14+1</f>
        <v>2</v>
      </c>
      <c r="DB15" s="1" t="s">
        <v>178</v>
      </c>
      <c r="DC15" s="439"/>
      <c r="DD15" s="439">
        <v>2115323.8108910434</v>
      </c>
      <c r="DE15" s="439">
        <v>1894152.5850881652</v>
      </c>
      <c r="DF15" s="440">
        <f>DE15-DD15</f>
        <v>-221171.22580287815</v>
      </c>
      <c r="DG15" s="439">
        <v>1934093.6637685676</v>
      </c>
      <c r="DH15" s="417">
        <f>DG15-DE15</f>
        <v>39941.078680402366</v>
      </c>
      <c r="DI15" s="7">
        <f t="shared" ref="DI15:DI30" si="13">+DI14+1</f>
        <v>2</v>
      </c>
      <c r="DJ15" s="220" t="s">
        <v>117</v>
      </c>
      <c r="DK15" s="320"/>
      <c r="DL15" s="8">
        <v>6435874.2777891876</v>
      </c>
      <c r="DM15" s="8">
        <v>6442215.4155860059</v>
      </c>
      <c r="DN15" s="336">
        <f t="shared" ref="DN15:DN23" si="14">+DM15-DL15</f>
        <v>6341.1377968182787</v>
      </c>
      <c r="DO15" s="8">
        <v>6688165.9532109005</v>
      </c>
      <c r="DP15" s="8">
        <f t="shared" ref="DP15:DP23" si="15">+DO15-DM15</f>
        <v>245950.53762489464</v>
      </c>
      <c r="DQ15" s="7">
        <f t="shared" ref="DQ15:DQ34" si="16">DQ14+1</f>
        <v>2</v>
      </c>
      <c r="DR15" s="308" t="s">
        <v>186</v>
      </c>
      <c r="DS15" s="7"/>
      <c r="DT15" s="336">
        <v>9540504.8394000009</v>
      </c>
      <c r="DU15" s="336">
        <v>9550045.3442394007</v>
      </c>
      <c r="DV15" s="336">
        <f>+DU15-DT15</f>
        <v>9540.5048393998295</v>
      </c>
      <c r="DW15" s="336">
        <v>9915812.0809237696</v>
      </c>
      <c r="DX15" s="336">
        <f>+DW15-DU15</f>
        <v>365766.73668436892</v>
      </c>
      <c r="DY15" s="266">
        <v>2</v>
      </c>
      <c r="DZ15" s="320" t="s">
        <v>391</v>
      </c>
      <c r="EA15" s="316"/>
      <c r="EB15" s="336">
        <v>19841150.083478596</v>
      </c>
      <c r="EC15" s="336">
        <v>19806192.590422798</v>
      </c>
      <c r="ED15" s="336">
        <f>EC15-EB15</f>
        <v>-34957.493055798113</v>
      </c>
      <c r="EE15" s="336">
        <v>20948313.3479256</v>
      </c>
      <c r="EF15" s="336">
        <f>EE15-EC15</f>
        <v>1142120.7575028017</v>
      </c>
      <c r="EG15" s="266">
        <f t="shared" ref="EG15:EG20" si="17">EG14+1</f>
        <v>2</v>
      </c>
      <c r="EH15" s="422" t="s">
        <v>34</v>
      </c>
      <c r="EJ15" s="9">
        <v>-4244925258.0010071</v>
      </c>
      <c r="EK15" s="13">
        <v>-4388667535.5324507</v>
      </c>
      <c r="EL15" s="9">
        <f t="shared" si="2"/>
        <v>-143742277.5314436</v>
      </c>
      <c r="EM15" s="13">
        <f t="shared" si="3"/>
        <v>-4388667535.5324507</v>
      </c>
      <c r="EN15" s="9">
        <f t="shared" si="4"/>
        <v>0</v>
      </c>
      <c r="EO15" s="266">
        <f t="shared" ref="EO15:EO32" si="18">EO14+1</f>
        <v>2</v>
      </c>
      <c r="EP15" s="422" t="s">
        <v>378</v>
      </c>
      <c r="ER15" s="13">
        <v>17479184.218140036</v>
      </c>
      <c r="ES15" s="13">
        <v>18643869.746868491</v>
      </c>
      <c r="ET15" s="13">
        <f>ES15-ER15</f>
        <v>1164685.5287284553</v>
      </c>
      <c r="EU15" s="13">
        <f>ES15</f>
        <v>18643869.746868491</v>
      </c>
      <c r="EV15" s="13">
        <f>EU15-ES15</f>
        <v>0</v>
      </c>
      <c r="EW15" s="7">
        <f t="shared" ref="EW15:EW20" si="19">EW14+1</f>
        <v>2</v>
      </c>
      <c r="EX15" s="6" t="s">
        <v>343</v>
      </c>
      <c r="EZ15" s="12">
        <v>-763743.36</v>
      </c>
      <c r="FA15" s="12">
        <v>-763743.36</v>
      </c>
      <c r="FB15" s="12">
        <f>FA15-EZ15</f>
        <v>0</v>
      </c>
      <c r="FC15" s="12">
        <v>-4297707.3533333326</v>
      </c>
      <c r="FD15" s="12">
        <f>FC15-FA15</f>
        <v>-3533963.9933333327</v>
      </c>
      <c r="FE15" s="266">
        <f>FE14+1</f>
        <v>2</v>
      </c>
      <c r="FF15" s="441" t="s">
        <v>574</v>
      </c>
      <c r="FG15" s="421"/>
      <c r="FH15" s="8">
        <v>1423784.9999999995</v>
      </c>
      <c r="FI15" s="8">
        <v>1423784.9999999995</v>
      </c>
      <c r="FJ15" s="8">
        <f>FI15-FH15</f>
        <v>0</v>
      </c>
      <c r="FK15" s="8">
        <v>1575832.6603212098</v>
      </c>
      <c r="FL15" s="8">
        <f>FK15-FI15</f>
        <v>152047.66032121028</v>
      </c>
      <c r="FM15" s="266">
        <f t="shared" ref="FM15:FM42" si="20">FM14+1</f>
        <v>2</v>
      </c>
      <c r="FN15" s="309" t="s">
        <v>457</v>
      </c>
      <c r="FO15" s="309"/>
      <c r="FP15" s="427"/>
      <c r="FQ15" s="427"/>
      <c r="FR15" s="427"/>
      <c r="FS15" s="427"/>
      <c r="FT15" s="427"/>
      <c r="FU15" s="7">
        <v>2</v>
      </c>
      <c r="FV15" s="14" t="s">
        <v>428</v>
      </c>
      <c r="FW15" s="442"/>
      <c r="FX15" s="356">
        <v>1029462.7966205003</v>
      </c>
      <c r="FY15" s="356">
        <v>0</v>
      </c>
      <c r="FZ15" s="356">
        <f t="shared" ref="FZ15:FZ22" si="21">FY15-FX15</f>
        <v>-1029462.7966205003</v>
      </c>
      <c r="GA15" s="356">
        <v>0</v>
      </c>
      <c r="GB15" s="356">
        <f t="shared" ref="GB15:GB22" si="22">GA15-FY15</f>
        <v>0</v>
      </c>
      <c r="GC15" s="313">
        <f t="shared" ref="GC15:GC38" si="23">+GC14+1</f>
        <v>2</v>
      </c>
      <c r="GD15" s="309" t="s">
        <v>457</v>
      </c>
      <c r="GE15" s="309"/>
      <c r="GF15" s="427"/>
      <c r="GG15" s="427"/>
      <c r="GH15" s="427"/>
      <c r="GI15" s="427"/>
      <c r="GJ15" s="427"/>
      <c r="GK15" s="313">
        <f t="shared" ref="GK15:GK20" si="24">GK14+1</f>
        <v>2</v>
      </c>
      <c r="GL15" s="6" t="s">
        <v>343</v>
      </c>
      <c r="GN15" s="8">
        <v>828672</v>
      </c>
      <c r="GO15" s="8">
        <v>828672</v>
      </c>
      <c r="GP15" s="8">
        <f>GO15-GN15</f>
        <v>0</v>
      </c>
      <c r="GQ15" s="8">
        <v>224455.831275</v>
      </c>
      <c r="GR15" s="8">
        <f>GQ15-GO15</f>
        <v>-604216.168725</v>
      </c>
      <c r="GS15" s="313">
        <f t="shared" ref="GS15:GS23" si="25">+GS14+1</f>
        <v>2</v>
      </c>
      <c r="GT15" s="6" t="s">
        <v>452</v>
      </c>
      <c r="GU15" s="309"/>
      <c r="GV15" s="12">
        <v>-36025489.107016005</v>
      </c>
      <c r="GW15" s="12">
        <f>GV15</f>
        <v>-36025489.107016005</v>
      </c>
      <c r="GX15" s="12">
        <f>GW15-GV15</f>
        <v>0</v>
      </c>
      <c r="GY15" s="12">
        <v>-31522302.987015996</v>
      </c>
      <c r="GZ15" s="12">
        <f>GY15-GW15</f>
        <v>4503186.1200000085</v>
      </c>
      <c r="HA15" s="7">
        <v>2</v>
      </c>
      <c r="HB15" s="318" t="s">
        <v>99</v>
      </c>
      <c r="HD15" s="8">
        <v>0</v>
      </c>
      <c r="HE15" s="8">
        <f>+HD15</f>
        <v>0</v>
      </c>
      <c r="HF15" s="8">
        <f>HE15-HD15</f>
        <v>0</v>
      </c>
      <c r="HG15" s="8">
        <v>27187950.539999999</v>
      </c>
      <c r="HH15" s="8">
        <f>HG15-HF15</f>
        <v>27187950.539999999</v>
      </c>
      <c r="HI15" s="313">
        <f t="shared" ref="HI15:HI21" si="26">+HI14+1</f>
        <v>2</v>
      </c>
      <c r="HJ15" s="316" t="s">
        <v>15</v>
      </c>
      <c r="HK15" s="9"/>
      <c r="HL15" s="9">
        <v>47610895.020000003</v>
      </c>
      <c r="HM15" s="9">
        <v>47610895.020000003</v>
      </c>
      <c r="HN15" s="9">
        <f>HM15-HL15</f>
        <v>0</v>
      </c>
      <c r="HO15" s="9">
        <v>48988849.240000002</v>
      </c>
      <c r="HP15" s="9">
        <f>HO15-HM15</f>
        <v>1377954.2199999988</v>
      </c>
      <c r="HQ15" s="313">
        <f t="shared" ref="HQ15:HQ30" si="27">+HQ14+1</f>
        <v>2</v>
      </c>
      <c r="HR15" s="1" t="s">
        <v>473</v>
      </c>
      <c r="HY15" s="313">
        <f t="shared" ref="HY15:HY30" si="28">+HY14+1</f>
        <v>2</v>
      </c>
      <c r="HZ15" s="288" t="s">
        <v>473</v>
      </c>
      <c r="IA15" s="175"/>
      <c r="IB15" s="175"/>
      <c r="IC15" s="175"/>
      <c r="ID15" s="175"/>
      <c r="IE15" s="175"/>
      <c r="IF15" s="175"/>
    </row>
    <row r="16" spans="1:240" ht="14.4" thickBot="1" x14ac:dyDescent="0.3">
      <c r="A16" s="407">
        <f>A15+1</f>
        <v>4</v>
      </c>
      <c r="B16" s="344" t="s">
        <v>356</v>
      </c>
      <c r="C16" s="1"/>
      <c r="D16" s="662"/>
      <c r="E16" s="662"/>
      <c r="F16" s="443">
        <v>0</v>
      </c>
      <c r="G16" s="664"/>
      <c r="H16" s="443">
        <v>1895876.7300000002</v>
      </c>
      <c r="I16" s="266">
        <f>I15+1</f>
        <v>4</v>
      </c>
      <c r="J16" s="409" t="s">
        <v>371</v>
      </c>
      <c r="K16" s="444"/>
      <c r="L16" s="445">
        <v>3.9125572074135639E-2</v>
      </c>
      <c r="M16" s="445">
        <v>3.9125572074135639E-2</v>
      </c>
      <c r="N16" s="445">
        <v>3.9125572074135639E-2</v>
      </c>
      <c r="O16" s="445">
        <v>3.9673328854169305E-2</v>
      </c>
      <c r="P16" s="445">
        <f>O16-M16</f>
        <v>5.4775678003366607E-4</v>
      </c>
      <c r="Q16" s="266">
        <f>Q15+1</f>
        <v>3</v>
      </c>
      <c r="R16" s="316" t="s">
        <v>148</v>
      </c>
      <c r="S16" s="316"/>
      <c r="T16" s="446">
        <f>SUM(T14:T15)</f>
        <v>61749262.590000004</v>
      </c>
      <c r="U16" s="446">
        <f>SUM(U14:U15)</f>
        <v>76684916.036827505</v>
      </c>
      <c r="V16" s="446">
        <f>-SUM(V14:V15)</f>
        <v>-14935653.446827501</v>
      </c>
      <c r="W16" s="446">
        <f>SUM(W14:W15)</f>
        <v>76684916.036827505</v>
      </c>
      <c r="X16" s="446">
        <f>SUM(X14:X15)</f>
        <v>0</v>
      </c>
      <c r="Y16" s="266">
        <f>Y15+1</f>
        <v>3</v>
      </c>
      <c r="Z16" s="345" t="s">
        <v>151</v>
      </c>
      <c r="AB16" s="356"/>
      <c r="AC16" s="356"/>
      <c r="AD16" s="356"/>
      <c r="AE16" s="356"/>
      <c r="AF16" s="19"/>
      <c r="AG16" s="407">
        <f>+AG15+1</f>
        <v>3</v>
      </c>
      <c r="AH16" s="432" t="s">
        <v>205</v>
      </c>
      <c r="AJ16" s="221">
        <v>62179769</v>
      </c>
      <c r="AK16" s="221">
        <v>0</v>
      </c>
      <c r="AL16" s="221">
        <f t="shared" si="7"/>
        <v>-62179769</v>
      </c>
      <c r="AM16" s="221">
        <f t="shared" si="8"/>
        <v>0</v>
      </c>
      <c r="AN16" s="221">
        <f t="shared" ref="AN16:AN27" si="29">AM16-AK16</f>
        <v>0</v>
      </c>
      <c r="AO16" s="266">
        <f>AO15+1</f>
        <v>3</v>
      </c>
      <c r="AP16" s="12" t="s">
        <v>159</v>
      </c>
      <c r="AQ16" s="12"/>
      <c r="AR16" s="447">
        <f>SUM(AR14:AR15)</f>
        <v>1250336.8659676735</v>
      </c>
      <c r="AS16" s="447">
        <f>SUM(AS14:AS15)</f>
        <v>1166036.3914547989</v>
      </c>
      <c r="AT16" s="447">
        <f>SUM(AT14:AT15)</f>
        <v>-84300.474512874614</v>
      </c>
      <c r="AU16" s="447">
        <f>SUM(AU14:AU15)</f>
        <v>1166036.3914547989</v>
      </c>
      <c r="AV16" s="447">
        <f>SUM(AV14:AV15)</f>
        <v>0</v>
      </c>
      <c r="AW16" s="7">
        <f>AW15+1</f>
        <v>3</v>
      </c>
      <c r="AX16" s="7"/>
      <c r="AY16" s="7"/>
      <c r="AZ16" s="448"/>
      <c r="BA16" s="219"/>
      <c r="BB16" s="219"/>
      <c r="BC16" s="219"/>
      <c r="BD16" s="219"/>
      <c r="BE16" s="7">
        <f>BE15+1</f>
        <v>3</v>
      </c>
      <c r="BF16" s="435" t="s">
        <v>118</v>
      </c>
      <c r="BH16" s="192">
        <v>1722337.7348331909</v>
      </c>
      <c r="BI16" s="192">
        <v>1679000.5734577938</v>
      </c>
      <c r="BJ16" s="192">
        <v>-43337.161375397118</v>
      </c>
      <c r="BK16" s="192">
        <v>1679000.5734577938</v>
      </c>
      <c r="BL16" s="13">
        <v>0</v>
      </c>
      <c r="BM16" s="413">
        <v>3</v>
      </c>
      <c r="BN16" s="414" t="s">
        <v>222</v>
      </c>
      <c r="BO16" s="414"/>
      <c r="BP16" s="449">
        <f>BP14+BP15</f>
        <v>89249370.281786993</v>
      </c>
      <c r="BQ16" s="449">
        <f>BQ14+BQ15</f>
        <v>89158440.199708983</v>
      </c>
      <c r="BR16" s="449">
        <f>BR14+BR15</f>
        <v>-90930.082078008913</v>
      </c>
      <c r="BS16" s="449">
        <f>BS14+BS15</f>
        <v>89249370.281786993</v>
      </c>
      <c r="BT16" s="450">
        <f>BT14+BT15</f>
        <v>90930.082078008913</v>
      </c>
      <c r="BU16" s="7">
        <f>BU15+1</f>
        <v>3</v>
      </c>
      <c r="BV16" s="320" t="s">
        <v>107</v>
      </c>
      <c r="BW16" s="316"/>
      <c r="BX16" s="411">
        <f>SUM(BX14:BX15)</f>
        <v>84154.734218343758</v>
      </c>
      <c r="BY16" s="411">
        <f>SUM(BY14:BY15)</f>
        <v>77444.18431150305</v>
      </c>
      <c r="BZ16" s="411">
        <f>SUM(BZ14:BZ15)</f>
        <v>-6710.549906840708</v>
      </c>
      <c r="CA16" s="411">
        <f>SUM(CA14:CA15)</f>
        <v>84154.734218343758</v>
      </c>
      <c r="CB16" s="411">
        <f>SUM(CB14:CB15)</f>
        <v>6710.549906840708</v>
      </c>
      <c r="CC16" s="302">
        <f>CC15+1</f>
        <v>3</v>
      </c>
      <c r="CD16" s="1" t="s">
        <v>95</v>
      </c>
      <c r="CE16" s="1"/>
      <c r="CF16" s="352">
        <f>-SUM(CF14:CF15)</f>
        <v>0</v>
      </c>
      <c r="CG16" s="352">
        <f>-SUM(CG14:CG15)</f>
        <v>-803909.33835699933</v>
      </c>
      <c r="CH16" s="352">
        <f>-SUM(CH14:CH15)</f>
        <v>-803909.33835699933</v>
      </c>
      <c r="CI16" s="352">
        <f>-SUM(CI14:CI15)</f>
        <v>-803909.33835699933</v>
      </c>
      <c r="CJ16" s="352">
        <f>-SUM(CJ14:CJ15)</f>
        <v>0</v>
      </c>
      <c r="CK16" s="7">
        <f>+CK15+1</f>
        <v>3</v>
      </c>
      <c r="CL16" s="316" t="s">
        <v>214</v>
      </c>
      <c r="CM16" s="316"/>
      <c r="CN16" s="8">
        <v>-11803.907603</v>
      </c>
      <c r="CO16" s="8">
        <v>548500</v>
      </c>
      <c r="CP16" s="8">
        <f>CO16-CN16</f>
        <v>560303.90760300006</v>
      </c>
      <c r="CQ16" s="8">
        <f>+CO16</f>
        <v>548500</v>
      </c>
      <c r="CR16" s="8">
        <f>CQ16-CO16</f>
        <v>0</v>
      </c>
      <c r="CS16" s="266">
        <f>CS15+1</f>
        <v>3</v>
      </c>
      <c r="CT16" s="316"/>
      <c r="CU16" s="316"/>
      <c r="CV16" s="372"/>
      <c r="CW16" s="372"/>
      <c r="CX16" s="372"/>
      <c r="CY16" s="372"/>
      <c r="CZ16" s="372"/>
      <c r="DA16" s="302">
        <f>DA15+1</f>
        <v>3</v>
      </c>
      <c r="DB16" s="316" t="s">
        <v>120</v>
      </c>
      <c r="DC16" s="451"/>
      <c r="DD16" s="452">
        <f>SUM(DD14:DD15)</f>
        <v>5788035.7400107104</v>
      </c>
      <c r="DE16" s="452">
        <f>SUM(DE14:DE15)</f>
        <v>5383033.9810123323</v>
      </c>
      <c r="DF16" s="452">
        <f>SUM(DF14:DF15)</f>
        <v>-405001.75899837748</v>
      </c>
      <c r="DG16" s="452">
        <f>SUM(DG14:DG15)</f>
        <v>5943271.9573463742</v>
      </c>
      <c r="DH16" s="452">
        <f>SUM(DH14:DH15)</f>
        <v>560237.97633404168</v>
      </c>
      <c r="DI16" s="7">
        <f>+DI15+1</f>
        <v>3</v>
      </c>
      <c r="DJ16" s="220" t="s">
        <v>118</v>
      </c>
      <c r="DK16" s="320"/>
      <c r="DL16" s="221">
        <v>21002062.650665939</v>
      </c>
      <c r="DM16" s="453">
        <v>21009444.612224907</v>
      </c>
      <c r="DN16" s="454">
        <f t="shared" si="14"/>
        <v>7381.9615589678288</v>
      </c>
      <c r="DO16" s="454">
        <v>21701059.501812048</v>
      </c>
      <c r="DP16" s="454">
        <f t="shared" si="15"/>
        <v>691614.88958714157</v>
      </c>
      <c r="DQ16" s="7">
        <f>DQ15+1</f>
        <v>3</v>
      </c>
      <c r="DR16" s="11"/>
      <c r="DS16" s="455"/>
      <c r="DT16" s="8"/>
      <c r="DU16" s="8"/>
      <c r="DV16" s="336"/>
      <c r="DW16" s="8"/>
      <c r="DX16" s="8"/>
      <c r="DY16" s="266">
        <v>3</v>
      </c>
      <c r="DZ16" s="338" t="s">
        <v>192</v>
      </c>
      <c r="EA16" s="316"/>
      <c r="EB16" s="456">
        <v>10338996.0695654</v>
      </c>
      <c r="EC16" s="456">
        <v>10434337.410289202</v>
      </c>
      <c r="ED16" s="186">
        <f>EC16-EB16</f>
        <v>95341.340723801404</v>
      </c>
      <c r="EE16" s="456">
        <v>11042309.130098399</v>
      </c>
      <c r="EF16" s="457">
        <f>EE16-EC16</f>
        <v>607971.71980919689</v>
      </c>
      <c r="EG16" s="266">
        <f>EG15+1</f>
        <v>3</v>
      </c>
      <c r="EH16" s="1" t="s">
        <v>35</v>
      </c>
      <c r="EJ16" s="9">
        <v>285841342.02833331</v>
      </c>
      <c r="EK16" s="13">
        <v>273144103.32999998</v>
      </c>
      <c r="EL16" s="9">
        <f t="shared" si="2"/>
        <v>-12697238.698333323</v>
      </c>
      <c r="EM16" s="13">
        <f t="shared" si="3"/>
        <v>273144103.32999998</v>
      </c>
      <c r="EN16" s="9">
        <f t="shared" si="4"/>
        <v>0</v>
      </c>
      <c r="EO16" s="266">
        <f>EO15+1</f>
        <v>3</v>
      </c>
      <c r="EP16" s="422" t="s">
        <v>482</v>
      </c>
      <c r="ER16" s="13">
        <v>15706525.089999994</v>
      </c>
      <c r="ES16" s="13">
        <v>15702575.549999984</v>
      </c>
      <c r="ET16" s="13">
        <f>ES16-ER16</f>
        <v>-3949.5400000102818</v>
      </c>
      <c r="EU16" s="13">
        <f>ES16</f>
        <v>15702575.549999984</v>
      </c>
      <c r="EV16" s="13">
        <f>EU16-ES16</f>
        <v>0</v>
      </c>
      <c r="EW16" s="7">
        <f>EW15+1</f>
        <v>3</v>
      </c>
      <c r="EZ16" s="11"/>
      <c r="FA16" s="11"/>
      <c r="FB16" s="11"/>
      <c r="FC16" s="11"/>
      <c r="FD16" s="11"/>
      <c r="FE16" s="266">
        <f>FE15+1</f>
        <v>3</v>
      </c>
      <c r="FF16" s="458" t="s">
        <v>202</v>
      </c>
      <c r="FG16" s="375"/>
      <c r="FH16" s="459">
        <f>FH15</f>
        <v>1423784.9999999995</v>
      </c>
      <c r="FI16" s="459">
        <f>FI15</f>
        <v>1423784.9999999995</v>
      </c>
      <c r="FJ16" s="459">
        <f>FJ15</f>
        <v>0</v>
      </c>
      <c r="FK16" s="459">
        <f>FK15</f>
        <v>1575832.6603212098</v>
      </c>
      <c r="FL16" s="459">
        <f>FL15</f>
        <v>152047.66032121028</v>
      </c>
      <c r="FM16" s="266">
        <f>FM15+1</f>
        <v>3</v>
      </c>
      <c r="FN16" s="331" t="s">
        <v>433</v>
      </c>
      <c r="FO16" s="331"/>
      <c r="FP16" s="356">
        <v>0</v>
      </c>
      <c r="FQ16" s="356">
        <v>0</v>
      </c>
      <c r="FR16" s="356">
        <v>0</v>
      </c>
      <c r="FS16" s="356">
        <v>65931132.660367854</v>
      </c>
      <c r="FT16" s="356">
        <f>+FS16-FR16</f>
        <v>65931132.660367854</v>
      </c>
      <c r="FU16" s="7">
        <v>3</v>
      </c>
      <c r="FV16" s="14" t="s">
        <v>540</v>
      </c>
      <c r="FW16" s="442"/>
      <c r="FX16" s="460">
        <v>260613.38712720003</v>
      </c>
      <c r="FY16" s="460">
        <v>0</v>
      </c>
      <c r="FZ16" s="460">
        <f t="shared" si="21"/>
        <v>-260613.38712720003</v>
      </c>
      <c r="GA16" s="460">
        <v>0</v>
      </c>
      <c r="GB16" s="460">
        <f t="shared" si="22"/>
        <v>0</v>
      </c>
      <c r="GC16" s="313">
        <f>+GC15+1</f>
        <v>3</v>
      </c>
      <c r="GD16" s="331" t="s">
        <v>458</v>
      </c>
      <c r="GE16" s="331"/>
      <c r="GF16" s="356">
        <v>0</v>
      </c>
      <c r="GG16" s="356">
        <v>0</v>
      </c>
      <c r="GH16" s="356">
        <v>0</v>
      </c>
      <c r="GI16" s="356">
        <v>33364266.499817003</v>
      </c>
      <c r="GJ16" s="356">
        <f>+GI16-GH16</f>
        <v>33364266.499817003</v>
      </c>
      <c r="GK16" s="313">
        <f>GK15+1</f>
        <v>3</v>
      </c>
      <c r="GN16" s="185"/>
      <c r="GO16" s="185"/>
      <c r="GP16" s="185"/>
      <c r="GQ16" s="185"/>
      <c r="GR16" s="185"/>
      <c r="GS16" s="313">
        <f>+GS15+1</f>
        <v>3</v>
      </c>
      <c r="GT16" s="6" t="s">
        <v>39</v>
      </c>
      <c r="GU16" s="309"/>
      <c r="GV16" s="368">
        <f>SUM(GV15)</f>
        <v>-36025489.107016005</v>
      </c>
      <c r="GW16" s="368">
        <f>SUM(GW15)</f>
        <v>-36025489.107016005</v>
      </c>
      <c r="GX16" s="368">
        <f>SUM(GX15)</f>
        <v>0</v>
      </c>
      <c r="GY16" s="368">
        <f>SUM(GY15)</f>
        <v>-31522302.987015996</v>
      </c>
      <c r="GZ16" s="368">
        <f>SUM(GZ15)</f>
        <v>4503186.1200000085</v>
      </c>
      <c r="HA16" s="7">
        <v>3</v>
      </c>
      <c r="HB16" s="318" t="s">
        <v>100</v>
      </c>
      <c r="HD16" s="9">
        <v>0</v>
      </c>
      <c r="HE16" s="9">
        <f>+HD16</f>
        <v>0</v>
      </c>
      <c r="HF16" s="9">
        <f>HE16-HD16</f>
        <v>0</v>
      </c>
      <c r="HG16" s="9">
        <v>-1168151.1680902059</v>
      </c>
      <c r="HH16" s="13">
        <f>HG16-HF16</f>
        <v>-1168151.1680902059</v>
      </c>
      <c r="HI16" s="313">
        <f>+HI15+1</f>
        <v>3</v>
      </c>
      <c r="HJ16" s="316" t="s">
        <v>16</v>
      </c>
      <c r="HK16" s="9"/>
      <c r="HL16" s="9">
        <v>9867708.1199999992</v>
      </c>
      <c r="HM16" s="9">
        <v>9867708.1199999992</v>
      </c>
      <c r="HN16" s="9">
        <f>HM16-HL16</f>
        <v>0</v>
      </c>
      <c r="HO16" s="9">
        <v>10013750.199999999</v>
      </c>
      <c r="HP16" s="9">
        <f>HO16-HM16</f>
        <v>146042.08000000007</v>
      </c>
      <c r="HQ16" s="313">
        <f>+HQ15+1</f>
        <v>3</v>
      </c>
      <c r="HR16" s="1" t="s">
        <v>672</v>
      </c>
      <c r="HT16" s="8">
        <v>0</v>
      </c>
      <c r="HU16" s="8">
        <v>0</v>
      </c>
      <c r="HV16" s="8">
        <f>HU16-HT16</f>
        <v>0</v>
      </c>
      <c r="HW16" s="8">
        <v>7182265.7403660007</v>
      </c>
      <c r="HX16" s="8">
        <f>HW16-HU16</f>
        <v>7182265.7403660007</v>
      </c>
      <c r="HY16" s="313">
        <f>+HY15+1</f>
        <v>3</v>
      </c>
      <c r="HZ16" s="288" t="s">
        <v>672</v>
      </c>
      <c r="IA16" s="175"/>
      <c r="IB16" s="629">
        <v>227315.75601419382</v>
      </c>
      <c r="IC16" s="629">
        <v>0</v>
      </c>
      <c r="ID16" s="629">
        <f>IC16-IB16</f>
        <v>-227315.75601419382</v>
      </c>
      <c r="IE16" s="629"/>
      <c r="IF16" s="629">
        <f>IE16-IC16</f>
        <v>0</v>
      </c>
    </row>
    <row r="17" spans="1:242" ht="14.4" thickTop="1" x14ac:dyDescent="0.25">
      <c r="A17" s="407">
        <f t="shared" si="5"/>
        <v>5</v>
      </c>
      <c r="B17" s="344" t="s">
        <v>357</v>
      </c>
      <c r="C17" s="1"/>
      <c r="D17" s="662"/>
      <c r="E17" s="662"/>
      <c r="F17" s="443">
        <v>0</v>
      </c>
      <c r="G17" s="664"/>
      <c r="H17" s="443">
        <v>-723802.14000000013</v>
      </c>
      <c r="I17" s="266">
        <f t="shared" si="0"/>
        <v>5</v>
      </c>
      <c r="J17" s="444"/>
      <c r="K17" s="444"/>
      <c r="L17" s="461"/>
      <c r="M17" s="461"/>
      <c r="N17" s="461"/>
      <c r="O17" s="461"/>
      <c r="P17" s="461"/>
      <c r="Q17" s="1"/>
      <c r="R17" s="1"/>
      <c r="S17" s="1"/>
      <c r="T17" s="1"/>
      <c r="U17" s="1"/>
      <c r="V17" s="1"/>
      <c r="W17" s="1"/>
      <c r="X17" s="1"/>
      <c r="Y17" s="266">
        <f t="shared" si="6"/>
        <v>4</v>
      </c>
      <c r="Z17" s="345"/>
      <c r="AB17" s="14"/>
      <c r="AC17" s="14"/>
      <c r="AD17" s="14"/>
      <c r="AE17" s="14"/>
      <c r="AF17" s="14"/>
      <c r="AG17" s="407">
        <f t="shared" si="1"/>
        <v>4</v>
      </c>
      <c r="AH17" s="432" t="s">
        <v>375</v>
      </c>
      <c r="AJ17" s="221">
        <v>85339739.170000002</v>
      </c>
      <c r="AK17" s="221">
        <v>0</v>
      </c>
      <c r="AL17" s="221">
        <f t="shared" si="7"/>
        <v>-85339739.170000002</v>
      </c>
      <c r="AM17" s="221">
        <f t="shared" si="8"/>
        <v>0</v>
      </c>
      <c r="AN17" s="221">
        <f t="shared" si="29"/>
        <v>0</v>
      </c>
      <c r="AO17" s="266">
        <f t="shared" si="9"/>
        <v>4</v>
      </c>
      <c r="AP17" s="351"/>
      <c r="AQ17" s="351"/>
      <c r="AR17" s="343"/>
      <c r="AS17" s="343"/>
      <c r="AT17" s="343"/>
      <c r="AU17" s="343" t="s">
        <v>249</v>
      </c>
      <c r="AV17" s="340"/>
      <c r="AW17" s="7">
        <f>AW16+1</f>
        <v>4</v>
      </c>
      <c r="AX17" s="316" t="s">
        <v>372</v>
      </c>
      <c r="AY17" s="338"/>
      <c r="AZ17" s="462">
        <f>-AZ15</f>
        <v>-18742755.935488999</v>
      </c>
      <c r="BA17" s="462">
        <f>-BA15</f>
        <v>-18359017</v>
      </c>
      <c r="BB17" s="462">
        <f>-BB15</f>
        <v>383738.93548899889</v>
      </c>
      <c r="BC17" s="462">
        <f>-BC15</f>
        <v>-18359017</v>
      </c>
      <c r="BD17" s="462">
        <f>-BD15</f>
        <v>0</v>
      </c>
      <c r="BE17" s="7">
        <f t="shared" si="10"/>
        <v>4</v>
      </c>
      <c r="BF17" s="435" t="s">
        <v>162</v>
      </c>
      <c r="BH17" s="192">
        <v>753556.00726197346</v>
      </c>
      <c r="BI17" s="192">
        <v>734849.28831648605</v>
      </c>
      <c r="BJ17" s="192">
        <v>-18706.718945487402</v>
      </c>
      <c r="BK17" s="192">
        <v>734849.28831648605</v>
      </c>
      <c r="BL17" s="13">
        <v>0</v>
      </c>
      <c r="BM17" s="413">
        <v>4</v>
      </c>
      <c r="BN17" s="414"/>
      <c r="BO17" s="414"/>
      <c r="BP17" s="13"/>
      <c r="BQ17" s="192"/>
      <c r="BR17" s="192"/>
      <c r="BS17" s="192"/>
      <c r="BU17" s="7">
        <f t="shared" si="11"/>
        <v>4</v>
      </c>
      <c r="BV17" s="320"/>
      <c r="BW17" s="316"/>
      <c r="BX17" s="10"/>
      <c r="BY17" s="10"/>
      <c r="BZ17" s="10"/>
      <c r="CA17" s="10"/>
      <c r="CB17" s="10"/>
      <c r="CC17" s="302"/>
      <c r="CK17" s="7">
        <f t="shared" si="12"/>
        <v>4</v>
      </c>
      <c r="CL17" s="316"/>
      <c r="CM17" s="316"/>
      <c r="CN17" s="192"/>
      <c r="CO17" s="192"/>
      <c r="CP17" s="192"/>
      <c r="CQ17" s="192"/>
      <c r="CR17" s="192"/>
      <c r="CS17" s="266">
        <f>CS16+1</f>
        <v>4</v>
      </c>
      <c r="CT17" s="316" t="s">
        <v>116</v>
      </c>
      <c r="CU17" s="350">
        <f>FIT_E</f>
        <v>0.21</v>
      </c>
      <c r="CV17" s="463">
        <f>-CV15*$CU$17</f>
        <v>-956710.5332233446</v>
      </c>
      <c r="CW17" s="463">
        <f>-CW15*$CU$17</f>
        <v>-1415560.3237327191</v>
      </c>
      <c r="CX17" s="439">
        <f>CW17-CV17</f>
        <v>-458849.79050937446</v>
      </c>
      <c r="CY17" s="439">
        <f>CW17</f>
        <v>-1415560.3237327191</v>
      </c>
      <c r="CZ17" s="439">
        <f>CY17-CW17</f>
        <v>0</v>
      </c>
      <c r="DA17" s="302">
        <f>DA16+1</f>
        <v>4</v>
      </c>
      <c r="DB17" s="316"/>
      <c r="DC17" s="1"/>
      <c r="DD17" s="1"/>
      <c r="DE17" s="1"/>
      <c r="DF17" s="1"/>
      <c r="DG17" s="1"/>
      <c r="DH17" s="340"/>
      <c r="DI17" s="7">
        <f t="shared" si="13"/>
        <v>4</v>
      </c>
      <c r="DJ17" s="220" t="s">
        <v>162</v>
      </c>
      <c r="DK17" s="320"/>
      <c r="DL17" s="221">
        <v>9188775.2244181</v>
      </c>
      <c r="DM17" s="221">
        <v>9195193.1657769624</v>
      </c>
      <c r="DN17" s="454">
        <f t="shared" si="14"/>
        <v>6417.9413588624448</v>
      </c>
      <c r="DO17" s="454">
        <v>9524371.1429421082</v>
      </c>
      <c r="DP17" s="454">
        <f t="shared" si="15"/>
        <v>329177.9771651458</v>
      </c>
      <c r="DQ17" s="7">
        <f t="shared" si="16"/>
        <v>4</v>
      </c>
      <c r="DR17" s="419" t="s">
        <v>187</v>
      </c>
      <c r="DS17" s="464"/>
      <c r="DY17" s="266">
        <v>4</v>
      </c>
      <c r="DZ17" s="3" t="s">
        <v>392</v>
      </c>
      <c r="EA17" s="1"/>
      <c r="EB17" s="465">
        <f>SUM(EB15:EB16)</f>
        <v>30180146.153043997</v>
      </c>
      <c r="EC17" s="465">
        <f>SUM(EC15:EC16)</f>
        <v>30240530.000712</v>
      </c>
      <c r="ED17" s="465">
        <f>SUM(ED15:ED16)</f>
        <v>60383.847668003291</v>
      </c>
      <c r="EE17" s="465">
        <f>SUM(EE15:EE16)</f>
        <v>31990622.478023998</v>
      </c>
      <c r="EF17" s="346">
        <f>SUM(EF15:EF16)</f>
        <v>1750092.4773119986</v>
      </c>
      <c r="EG17" s="266">
        <f t="shared" si="17"/>
        <v>4</v>
      </c>
      <c r="EH17" s="1" t="s">
        <v>36</v>
      </c>
      <c r="EJ17" s="9">
        <v>-1443684469.5857882</v>
      </c>
      <c r="EK17" s="13">
        <v>-1420710082.9970851</v>
      </c>
      <c r="EL17" s="9">
        <f t="shared" si="2"/>
        <v>22974386.588703156</v>
      </c>
      <c r="EM17" s="13">
        <f t="shared" si="3"/>
        <v>-1420710082.9970851</v>
      </c>
      <c r="EN17" s="9">
        <f t="shared" si="4"/>
        <v>0</v>
      </c>
      <c r="EO17" s="266">
        <f t="shared" si="18"/>
        <v>4</v>
      </c>
      <c r="EP17" s="422" t="s">
        <v>483</v>
      </c>
      <c r="ER17" s="13">
        <v>44372353.199617065</v>
      </c>
      <c r="ES17" s="13">
        <v>60095545.457455039</v>
      </c>
      <c r="ET17" s="13">
        <f>ES17-ER17</f>
        <v>15723192.257837974</v>
      </c>
      <c r="EU17" s="13">
        <f>ES17</f>
        <v>60095545.457455039</v>
      </c>
      <c r="EV17" s="13">
        <f>EU17-ES17</f>
        <v>0</v>
      </c>
      <c r="EW17" s="7">
        <f t="shared" si="19"/>
        <v>4</v>
      </c>
      <c r="EX17" s="3" t="s">
        <v>344</v>
      </c>
      <c r="EY17" s="3"/>
      <c r="EZ17" s="39">
        <f>EZ15</f>
        <v>-763743.36</v>
      </c>
      <c r="FA17" s="39">
        <f>FA15</f>
        <v>-763743.36</v>
      </c>
      <c r="FB17" s="39">
        <f>FB15</f>
        <v>0</v>
      </c>
      <c r="FC17" s="39">
        <f>FC15</f>
        <v>-4297707.3533333326</v>
      </c>
      <c r="FD17" s="39">
        <f>FD15</f>
        <v>-3533963.9933333327</v>
      </c>
      <c r="FE17" s="266">
        <f>FE16+1</f>
        <v>4</v>
      </c>
      <c r="FF17" s="14"/>
      <c r="FG17" s="345"/>
      <c r="FH17" s="345"/>
      <c r="FI17" s="345"/>
      <c r="FJ17" s="340"/>
      <c r="FK17" s="340"/>
      <c r="FL17" s="346"/>
      <c r="FM17" s="266">
        <f t="shared" si="20"/>
        <v>4</v>
      </c>
      <c r="FN17" s="331" t="s">
        <v>434</v>
      </c>
      <c r="FO17" s="331"/>
      <c r="FP17" s="346">
        <v>0</v>
      </c>
      <c r="FQ17" s="346">
        <v>0</v>
      </c>
      <c r="FR17" s="346">
        <v>0</v>
      </c>
      <c r="FS17" s="346">
        <v>-4692721.0285460567</v>
      </c>
      <c r="FT17" s="346">
        <f>+FS17-FR17</f>
        <v>-4692721.0285460567</v>
      </c>
      <c r="FU17" s="7">
        <v>3</v>
      </c>
      <c r="FV17" s="14" t="s">
        <v>541</v>
      </c>
      <c r="FW17" s="442"/>
      <c r="FX17" s="460">
        <v>-690967.97</v>
      </c>
      <c r="FY17" s="460">
        <v>0</v>
      </c>
      <c r="FZ17" s="460">
        <f t="shared" si="21"/>
        <v>690967.97</v>
      </c>
      <c r="GA17" s="460">
        <v>0</v>
      </c>
      <c r="GB17" s="460">
        <f t="shared" si="22"/>
        <v>0</v>
      </c>
      <c r="GC17" s="313">
        <f t="shared" si="23"/>
        <v>4</v>
      </c>
      <c r="GD17" s="331" t="s">
        <v>459</v>
      </c>
      <c r="GE17" s="331"/>
      <c r="GF17" s="346">
        <v>0</v>
      </c>
      <c r="GG17" s="346">
        <v>0</v>
      </c>
      <c r="GH17" s="346">
        <v>0</v>
      </c>
      <c r="GI17" s="346">
        <v>-11787724.8131209</v>
      </c>
      <c r="GJ17" s="346">
        <f>+GI17-GH17</f>
        <v>-11787724.8131209</v>
      </c>
      <c r="GK17" s="313">
        <f t="shared" si="24"/>
        <v>4</v>
      </c>
      <c r="GL17" s="6" t="s">
        <v>344</v>
      </c>
      <c r="GN17" s="8">
        <f>GN15</f>
        <v>828672</v>
      </c>
      <c r="GO17" s="8">
        <f>GO15</f>
        <v>828672</v>
      </c>
      <c r="GP17" s="8">
        <f>GP15</f>
        <v>0</v>
      </c>
      <c r="GQ17" s="8">
        <f>GQ15</f>
        <v>224455.831275</v>
      </c>
      <c r="GR17" s="8">
        <f>GR15</f>
        <v>-604216.168725</v>
      </c>
      <c r="GS17" s="313">
        <f t="shared" si="25"/>
        <v>4</v>
      </c>
      <c r="GU17" s="309"/>
      <c r="GV17" s="462"/>
      <c r="GW17" s="462"/>
      <c r="GX17" s="462"/>
      <c r="GY17" s="462"/>
      <c r="GZ17" s="462"/>
      <c r="HA17" s="7">
        <v>4</v>
      </c>
      <c r="HB17" s="344" t="s">
        <v>430</v>
      </c>
      <c r="HD17" s="9">
        <v>0</v>
      </c>
      <c r="HE17" s="9">
        <f>+HD17</f>
        <v>0</v>
      </c>
      <c r="HF17" s="9">
        <f>HE17-HD17</f>
        <v>0</v>
      </c>
      <c r="HG17" s="9">
        <v>-252736.04995225731</v>
      </c>
      <c r="HH17" s="13">
        <f>HG17-HF17</f>
        <v>-252736.04995225731</v>
      </c>
      <c r="HI17" s="313">
        <f t="shared" si="26"/>
        <v>4</v>
      </c>
      <c r="HJ17" s="316" t="s">
        <v>19</v>
      </c>
      <c r="HK17" s="13"/>
      <c r="HL17" s="187">
        <v>40650.018955000007</v>
      </c>
      <c r="HM17" s="187">
        <v>40650.018955000007</v>
      </c>
      <c r="HN17" s="187">
        <f>HM17-HL17</f>
        <v>0</v>
      </c>
      <c r="HO17" s="187">
        <v>41908.472322000001</v>
      </c>
      <c r="HP17" s="187">
        <f>HO17-HM17</f>
        <v>1258.4533669999946</v>
      </c>
      <c r="HQ17" s="313">
        <f t="shared" si="27"/>
        <v>4</v>
      </c>
      <c r="HR17" s="1" t="s">
        <v>576</v>
      </c>
      <c r="HT17" s="9">
        <v>0</v>
      </c>
      <c r="HU17" s="9">
        <v>0</v>
      </c>
      <c r="HV17" s="9">
        <f>HU17-HT17</f>
        <v>0</v>
      </c>
      <c r="HW17" s="9">
        <v>-987239.14981850027</v>
      </c>
      <c r="HX17" s="8">
        <f>HW17-HU17</f>
        <v>-987239.14981850027</v>
      </c>
      <c r="HY17" s="313">
        <f t="shared" si="28"/>
        <v>4</v>
      </c>
      <c r="HZ17" s="288" t="s">
        <v>577</v>
      </c>
      <c r="IA17" s="638"/>
      <c r="IB17" s="630">
        <v>-15910.281133077566</v>
      </c>
      <c r="IC17" s="630">
        <v>0</v>
      </c>
      <c r="ID17" s="630">
        <f>IC17-IB17</f>
        <v>15910.281133077566</v>
      </c>
      <c r="IE17" s="630"/>
      <c r="IF17" s="629">
        <f>IE17-IC17</f>
        <v>0</v>
      </c>
    </row>
    <row r="18" spans="1:242" ht="14.4" thickBot="1" x14ac:dyDescent="0.3">
      <c r="A18" s="407">
        <f t="shared" si="5"/>
        <v>6</v>
      </c>
      <c r="B18" s="344" t="s">
        <v>494</v>
      </c>
      <c r="C18" s="1"/>
      <c r="D18" s="662"/>
      <c r="E18" s="662"/>
      <c r="F18" s="443">
        <v>-20725035.350196019</v>
      </c>
      <c r="G18" s="664"/>
      <c r="H18" s="443">
        <v>0</v>
      </c>
      <c r="I18" s="266">
        <f t="shared" si="0"/>
        <v>6</v>
      </c>
      <c r="J18" s="409" t="s">
        <v>498</v>
      </c>
      <c r="K18" s="444"/>
      <c r="L18" s="8">
        <f>L14*L16</f>
        <v>808141864.07046175</v>
      </c>
      <c r="M18" s="8">
        <f>M14*M16</f>
        <v>814693685.07046175</v>
      </c>
      <c r="N18" s="411">
        <v>6551821</v>
      </c>
      <c r="O18" s="411">
        <v>826099371.07046175</v>
      </c>
      <c r="P18" s="411">
        <f>O18-M18</f>
        <v>11405686</v>
      </c>
      <c r="Q18" s="407"/>
      <c r="R18" s="316"/>
      <c r="S18" s="316"/>
      <c r="T18" s="316"/>
      <c r="U18" s="316"/>
      <c r="V18" s="316"/>
      <c r="W18" s="316"/>
      <c r="X18" s="316"/>
      <c r="Y18" s="266">
        <f t="shared" si="6"/>
        <v>5</v>
      </c>
      <c r="Z18" s="405" t="s">
        <v>152</v>
      </c>
      <c r="AB18" s="37"/>
      <c r="AC18" s="38">
        <f>+'COC-Restating'!E12</f>
        <v>2.9399999999999999E-2</v>
      </c>
      <c r="AD18" s="38"/>
      <c r="AE18" s="38">
        <f>+'COC, Def, ConvF'!H12</f>
        <v>2.8299999999999999E-2</v>
      </c>
      <c r="AF18" s="38"/>
      <c r="AG18" s="407">
        <f t="shared" si="1"/>
        <v>5</v>
      </c>
      <c r="AH18" s="432" t="s">
        <v>376</v>
      </c>
      <c r="AJ18" s="221">
        <v>16204.59</v>
      </c>
      <c r="AK18" s="221">
        <v>0</v>
      </c>
      <c r="AL18" s="221">
        <f t="shared" si="7"/>
        <v>-16204.59</v>
      </c>
      <c r="AM18" s="221">
        <f t="shared" si="8"/>
        <v>0</v>
      </c>
      <c r="AN18" s="221">
        <f t="shared" si="29"/>
        <v>0</v>
      </c>
      <c r="AO18" s="266">
        <f t="shared" si="9"/>
        <v>5</v>
      </c>
      <c r="AP18" s="12" t="s">
        <v>160</v>
      </c>
      <c r="AQ18" s="12"/>
      <c r="AR18" s="12">
        <v>1250336.8659676735</v>
      </c>
      <c r="AS18" s="12">
        <v>1166036.3914547989</v>
      </c>
      <c r="AT18" s="12">
        <f>AS18-AR18</f>
        <v>-84300.474512874614</v>
      </c>
      <c r="AU18" s="8">
        <f>+AS18</f>
        <v>1166036.3914547989</v>
      </c>
      <c r="AV18" s="12">
        <f>+AU18-AS18</f>
        <v>0</v>
      </c>
      <c r="AW18" s="7">
        <f>AW17+1</f>
        <v>5</v>
      </c>
      <c r="AX18" s="373" t="s">
        <v>116</v>
      </c>
      <c r="AY18" s="197">
        <f>FIT_E</f>
        <v>0.21</v>
      </c>
      <c r="AZ18" s="310">
        <f>+AZ17*$AY$18</f>
        <v>-3935978.7464526896</v>
      </c>
      <c r="BA18" s="310">
        <f>+BA17*$AY$18</f>
        <v>-3855393.57</v>
      </c>
      <c r="BB18" s="310">
        <f>BA18-AZ18</f>
        <v>80585.176452689804</v>
      </c>
      <c r="BC18" s="12">
        <f>BA18</f>
        <v>-3855393.57</v>
      </c>
      <c r="BD18" s="12">
        <f>BC18-BA18</f>
        <v>0</v>
      </c>
      <c r="BE18" s="7">
        <f t="shared" si="10"/>
        <v>5</v>
      </c>
      <c r="BF18" s="435" t="s">
        <v>163</v>
      </c>
      <c r="BH18" s="192">
        <v>2248441.2377227461</v>
      </c>
      <c r="BI18" s="192">
        <v>2191563.7455525394</v>
      </c>
      <c r="BJ18" s="192">
        <v>-56877.492170206737</v>
      </c>
      <c r="BK18" s="192">
        <v>2191563.7455525394</v>
      </c>
      <c r="BL18" s="13">
        <v>0</v>
      </c>
      <c r="BM18" s="413">
        <v>5</v>
      </c>
      <c r="BN18" s="308" t="s">
        <v>223</v>
      </c>
      <c r="BO18" s="308"/>
      <c r="BP18" s="346">
        <f>BP16</f>
        <v>89249370.281786993</v>
      </c>
      <c r="BQ18" s="346">
        <f>BQ16</f>
        <v>89158440.199708983</v>
      </c>
      <c r="BR18" s="192">
        <f>BQ18-BP18</f>
        <v>-90930.082078009844</v>
      </c>
      <c r="BS18" s="346">
        <f>BS16</f>
        <v>89249370.281786993</v>
      </c>
      <c r="BT18" s="346">
        <f>BT16</f>
        <v>90930.082078008913</v>
      </c>
      <c r="BU18" s="7">
        <f t="shared" si="11"/>
        <v>5</v>
      </c>
      <c r="BV18" s="320" t="s">
        <v>224</v>
      </c>
      <c r="BW18" s="320"/>
      <c r="BX18" s="8">
        <f>+BX16</f>
        <v>84154.734218343758</v>
      </c>
      <c r="BY18" s="8">
        <f>+BY16</f>
        <v>77444.18431150305</v>
      </c>
      <c r="BZ18" s="8">
        <f>+BZ16</f>
        <v>-6710.549906840708</v>
      </c>
      <c r="CA18" s="8">
        <f>+CA16</f>
        <v>84154.734218343758</v>
      </c>
      <c r="CB18" s="8">
        <f>+CB16</f>
        <v>6710.549906840708</v>
      </c>
      <c r="CK18" s="7">
        <f t="shared" si="12"/>
        <v>5</v>
      </c>
      <c r="CL18" s="317" t="s">
        <v>215</v>
      </c>
      <c r="CM18" s="317"/>
      <c r="CN18" s="192"/>
      <c r="CO18" s="192"/>
      <c r="CP18" s="192"/>
      <c r="CQ18" s="192"/>
      <c r="CR18" s="192"/>
      <c r="CS18" s="266">
        <f>CS17+1</f>
        <v>5</v>
      </c>
      <c r="CT18" s="316" t="s">
        <v>95</v>
      </c>
      <c r="CU18" s="316"/>
      <c r="CV18" s="189">
        <f>-CV15-CV17</f>
        <v>-3599053.9106973442</v>
      </c>
      <c r="CW18" s="189">
        <f>-CW15-CW17</f>
        <v>-5325203.1226135632</v>
      </c>
      <c r="CX18" s="189">
        <f>-CX15-CX17</f>
        <v>-1726149.211916219</v>
      </c>
      <c r="CY18" s="189">
        <f>-CY15-CY17</f>
        <v>-5325203.1226135632</v>
      </c>
      <c r="CZ18" s="189">
        <f>-CZ15-CZ17</f>
        <v>0</v>
      </c>
      <c r="DA18" s="302">
        <f>DA17+1</f>
        <v>5</v>
      </c>
      <c r="DB18" s="316" t="s">
        <v>128</v>
      </c>
      <c r="DC18" s="350">
        <f>FIT_E</f>
        <v>0.21</v>
      </c>
      <c r="DD18" s="467">
        <f>-DD16*$DC$18</f>
        <v>-1215487.5054022491</v>
      </c>
      <c r="DE18" s="467">
        <f>-DE16*$DC$18</f>
        <v>-1130437.1360125898</v>
      </c>
      <c r="DF18" s="467">
        <f>DE18-DD18</f>
        <v>85050.369389659259</v>
      </c>
      <c r="DG18" s="467">
        <f>-DG16*DC18</f>
        <v>-1248087.1110427384</v>
      </c>
      <c r="DH18" s="467">
        <f>DG18-DE18</f>
        <v>-117649.97503014863</v>
      </c>
      <c r="DI18" s="7">
        <f t="shared" si="13"/>
        <v>5</v>
      </c>
      <c r="DJ18" s="220" t="s">
        <v>163</v>
      </c>
      <c r="DK18" s="320"/>
      <c r="DL18" s="221">
        <v>27417316.113969147</v>
      </c>
      <c r="DM18" s="221">
        <v>27423128.940563183</v>
      </c>
      <c r="DN18" s="454">
        <f t="shared" si="14"/>
        <v>5812.8265940360725</v>
      </c>
      <c r="DO18" s="454">
        <v>28292537.446778752</v>
      </c>
      <c r="DP18" s="454">
        <f t="shared" si="15"/>
        <v>869408.50621556863</v>
      </c>
      <c r="DQ18" s="7">
        <f t="shared" si="16"/>
        <v>5</v>
      </c>
      <c r="DR18" s="308" t="s">
        <v>188</v>
      </c>
      <c r="DS18" s="7"/>
      <c r="DT18" s="468">
        <v>3276439.5071999999</v>
      </c>
      <c r="DU18" s="468">
        <v>3276439.5071999999</v>
      </c>
      <c r="DV18" s="468">
        <f>+DU18-DT18</f>
        <v>0</v>
      </c>
      <c r="DW18" s="468">
        <v>3374732.6924159997</v>
      </c>
      <c r="DX18" s="468">
        <f>+DW18-DU18</f>
        <v>98293.185215999838</v>
      </c>
      <c r="DY18" s="266">
        <v>5</v>
      </c>
      <c r="DZ18" s="338"/>
      <c r="EA18" s="1"/>
      <c r="EB18" s="1"/>
      <c r="EC18" s="1"/>
      <c r="EF18" s="340"/>
      <c r="EG18" s="266">
        <f t="shared" si="17"/>
        <v>5</v>
      </c>
      <c r="EH18" s="1" t="s">
        <v>37</v>
      </c>
      <c r="EJ18" s="9">
        <v>145303204.9988502</v>
      </c>
      <c r="EK18" s="13">
        <v>137375215.94916266</v>
      </c>
      <c r="EL18" s="9">
        <f t="shared" si="2"/>
        <v>-7927989.0496875346</v>
      </c>
      <c r="EM18" s="13">
        <f t="shared" si="3"/>
        <v>137375215.94916266</v>
      </c>
      <c r="EN18" s="9">
        <f t="shared" si="4"/>
        <v>0</v>
      </c>
      <c r="EO18" s="266">
        <f t="shared" si="18"/>
        <v>5</v>
      </c>
      <c r="EP18" s="422" t="s">
        <v>379</v>
      </c>
      <c r="ER18" s="39">
        <f>SUM(ER14:ER17)</f>
        <v>393995683.0177567</v>
      </c>
      <c r="ES18" s="39">
        <f>SUM(ES14:ES17)</f>
        <v>415313168.81962591</v>
      </c>
      <c r="ET18" s="39">
        <f>SUM(ET14:ET17)</f>
        <v>21317485.801869217</v>
      </c>
      <c r="EU18" s="39">
        <f>SUM(EU14:EU17)</f>
        <v>415313168.81962591</v>
      </c>
      <c r="EV18" s="39">
        <f>SUM(EV14:EV17)</f>
        <v>0</v>
      </c>
      <c r="EW18" s="7">
        <f t="shared" si="19"/>
        <v>5</v>
      </c>
      <c r="FE18" s="266">
        <f>FE17+1</f>
        <v>5</v>
      </c>
      <c r="FF18" s="458" t="s">
        <v>400</v>
      </c>
      <c r="FG18" s="350">
        <f>FIT_E</f>
        <v>0.21</v>
      </c>
      <c r="FH18" s="467">
        <f>-FH16*$FG$18</f>
        <v>-298994.84999999992</v>
      </c>
      <c r="FI18" s="467">
        <f>-FI16*$FG$18</f>
        <v>-298994.84999999992</v>
      </c>
      <c r="FJ18" s="467">
        <f>-FJ16*$FG$18</f>
        <v>0</v>
      </c>
      <c r="FK18" s="467">
        <f>-FK16*$FG$18</f>
        <v>-330924.85866745404</v>
      </c>
      <c r="FL18" s="467">
        <f>-FL16*$FG$18</f>
        <v>-31930.008667454156</v>
      </c>
      <c r="FM18" s="266">
        <f t="shared" si="20"/>
        <v>5</v>
      </c>
      <c r="FN18" s="331" t="s">
        <v>435</v>
      </c>
      <c r="FO18" s="331"/>
      <c r="FP18" s="346">
        <v>0</v>
      </c>
      <c r="FQ18" s="346">
        <v>0</v>
      </c>
      <c r="FR18" s="346">
        <v>0</v>
      </c>
      <c r="FS18" s="346">
        <v>-4712629.9698629379</v>
      </c>
      <c r="FT18" s="346">
        <f>+FS18-FR18</f>
        <v>-4712629.9698629379</v>
      </c>
      <c r="FU18" s="7">
        <v>4</v>
      </c>
      <c r="FV18" s="14" t="s">
        <v>429</v>
      </c>
      <c r="FW18" s="442"/>
      <c r="FX18" s="460">
        <v>3068145.5511421002</v>
      </c>
      <c r="FY18" s="460">
        <v>3068145.5511421002</v>
      </c>
      <c r="FZ18" s="460">
        <f t="shared" si="21"/>
        <v>0</v>
      </c>
      <c r="GA18" s="460">
        <v>2947101.0393960006</v>
      </c>
      <c r="GB18" s="460">
        <f t="shared" si="22"/>
        <v>-121044.51174609968</v>
      </c>
      <c r="GC18" s="313">
        <f t="shared" si="23"/>
        <v>5</v>
      </c>
      <c r="GD18" s="331" t="s">
        <v>101</v>
      </c>
      <c r="GE18" s="331"/>
      <c r="GF18" s="346">
        <v>0</v>
      </c>
      <c r="GG18" s="346">
        <v>0</v>
      </c>
      <c r="GH18" s="346">
        <v>0</v>
      </c>
      <c r="GI18" s="346">
        <v>-520344.70686425053</v>
      </c>
      <c r="GJ18" s="346">
        <f>+GI18-GH18</f>
        <v>-520344.70686425053</v>
      </c>
      <c r="GK18" s="313">
        <f t="shared" si="24"/>
        <v>5</v>
      </c>
      <c r="GS18" s="313">
        <f t="shared" si="25"/>
        <v>5</v>
      </c>
      <c r="GT18" s="175" t="s">
        <v>453</v>
      </c>
      <c r="GU18" s="309"/>
      <c r="GV18" s="462"/>
      <c r="GW18" s="462"/>
      <c r="GX18" s="462"/>
      <c r="GY18" s="462"/>
      <c r="GZ18" s="462"/>
      <c r="HA18" s="7">
        <v>5</v>
      </c>
      <c r="HB18" s="338" t="s">
        <v>431</v>
      </c>
      <c r="HD18" s="35">
        <f>SUM(HD15:HD17)</f>
        <v>0</v>
      </c>
      <c r="HE18" s="35"/>
      <c r="HF18" s="35">
        <f>+HD18</f>
        <v>0</v>
      </c>
      <c r="HG18" s="189">
        <f>SUM(HG15:HG17)</f>
        <v>25767063.321957536</v>
      </c>
      <c r="HH18" s="189">
        <f>SUM(HH15:HH17)</f>
        <v>25767063.321957536</v>
      </c>
      <c r="HI18" s="313">
        <f t="shared" si="26"/>
        <v>5</v>
      </c>
      <c r="HJ18" s="316" t="s">
        <v>142</v>
      </c>
      <c r="HK18" s="9"/>
      <c r="HL18" s="9">
        <f>SUM(HL14:HL17)</f>
        <v>62579095.448954999</v>
      </c>
      <c r="HM18" s="9">
        <f>SUM(HM14:HM17)</f>
        <v>62579095.448954999</v>
      </c>
      <c r="HN18" s="9">
        <f>SUM(HN14:HN17)</f>
        <v>0</v>
      </c>
      <c r="HO18" s="9">
        <f>SUM(HO14:HO17)</f>
        <v>64263558.68232201</v>
      </c>
      <c r="HP18" s="9">
        <f>SUM(HP14:HP17)</f>
        <v>1684463.2333669984</v>
      </c>
      <c r="HQ18" s="313">
        <f t="shared" si="27"/>
        <v>5</v>
      </c>
      <c r="HR18" s="1" t="s">
        <v>577</v>
      </c>
      <c r="HS18" s="11"/>
      <c r="HT18" s="9">
        <v>0</v>
      </c>
      <c r="HU18" s="9">
        <v>0</v>
      </c>
      <c r="HV18" s="9">
        <f>HU18-HT18</f>
        <v>0</v>
      </c>
      <c r="HW18" s="9">
        <v>-396669.00480650162</v>
      </c>
      <c r="HX18" s="8">
        <f>HW18-HU18</f>
        <v>-396669.00480650162</v>
      </c>
      <c r="HY18" s="313">
        <f t="shared" si="28"/>
        <v>5</v>
      </c>
      <c r="HZ18" s="288" t="s">
        <v>460</v>
      </c>
      <c r="IA18" s="638"/>
      <c r="IB18" s="644">
        <f>SUM(IB16:IB17)</f>
        <v>211405.47488111624</v>
      </c>
      <c r="IC18" s="644">
        <f>SUM(IC16:IC17)</f>
        <v>0</v>
      </c>
      <c r="ID18" s="644">
        <f>SUM(ID16:ID17)</f>
        <v>-211405.47488111624</v>
      </c>
      <c r="IE18" s="644">
        <f>SUM(IE16:IE17)</f>
        <v>0</v>
      </c>
      <c r="IF18" s="644">
        <f>SUM(IF16:IF17)</f>
        <v>0</v>
      </c>
    </row>
    <row r="19" spans="1:242" ht="15" thickTop="1" thickBot="1" x14ac:dyDescent="0.3">
      <c r="A19" s="407">
        <f t="shared" si="5"/>
        <v>7</v>
      </c>
      <c r="B19" s="344" t="s">
        <v>668</v>
      </c>
      <c r="C19" s="1"/>
      <c r="D19" s="662"/>
      <c r="E19" s="662"/>
      <c r="F19" s="443">
        <v>10345744.779999999</v>
      </c>
      <c r="G19" s="664"/>
      <c r="H19" s="443">
        <v>0</v>
      </c>
      <c r="I19" s="266">
        <f t="shared" si="0"/>
        <v>7</v>
      </c>
      <c r="J19" s="444"/>
      <c r="K19" s="444"/>
      <c r="L19" s="461"/>
      <c r="M19" s="461"/>
      <c r="N19" s="461"/>
      <c r="O19" s="461"/>
      <c r="P19" s="461"/>
      <c r="R19" s="316"/>
      <c r="S19" s="316"/>
      <c r="T19" s="316"/>
      <c r="U19" s="316"/>
      <c r="V19" s="316"/>
      <c r="W19" s="316"/>
      <c r="X19" s="316"/>
      <c r="Y19" s="266">
        <f t="shared" si="6"/>
        <v>6</v>
      </c>
      <c r="Z19" s="405" t="s">
        <v>153</v>
      </c>
      <c r="AB19" s="30">
        <v>0</v>
      </c>
      <c r="AC19" s="636">
        <f>+AC14*AC18</f>
        <v>157638290.37326118</v>
      </c>
      <c r="AD19" s="636">
        <f>+AC19-AB19</f>
        <v>157638290.37326118</v>
      </c>
      <c r="AE19" s="645">
        <f>+AE14*AE18</f>
        <v>155937564.23933214</v>
      </c>
      <c r="AF19" s="646">
        <f>+AE19-AD19</f>
        <v>-1700726.133929044</v>
      </c>
      <c r="AG19" s="407">
        <f t="shared" si="1"/>
        <v>6</v>
      </c>
      <c r="AH19" s="432" t="s">
        <v>133</v>
      </c>
      <c r="AJ19" s="221">
        <v>17990501.364999998</v>
      </c>
      <c r="AK19" s="221">
        <v>0</v>
      </c>
      <c r="AL19" s="221">
        <f t="shared" si="7"/>
        <v>-17990501.364999998</v>
      </c>
      <c r="AM19" s="221">
        <f t="shared" si="8"/>
        <v>0</v>
      </c>
      <c r="AN19" s="221">
        <f t="shared" si="29"/>
        <v>0</v>
      </c>
      <c r="AO19" s="266">
        <f t="shared" si="9"/>
        <v>6</v>
      </c>
      <c r="AP19" s="1" t="s">
        <v>128</v>
      </c>
      <c r="AQ19" s="370">
        <f>+FIT_E</f>
        <v>0.21</v>
      </c>
      <c r="AR19" s="433">
        <v>-262570.74185321142</v>
      </c>
      <c r="AS19" s="433">
        <v>-244867.64220550776</v>
      </c>
      <c r="AT19" s="433">
        <f>AS19-AR19</f>
        <v>17703.099647703668</v>
      </c>
      <c r="AU19" s="9">
        <f>+AS19</f>
        <v>-244867.64220550776</v>
      </c>
      <c r="AV19" s="187">
        <f>+AU19-AS19</f>
        <v>0</v>
      </c>
      <c r="AW19" s="7">
        <f>AW18+1</f>
        <v>6</v>
      </c>
      <c r="AX19" s="373" t="s">
        <v>95</v>
      </c>
      <c r="AY19" s="373"/>
      <c r="AZ19" s="354">
        <f>AZ17-AZ18</f>
        <v>-14806777.18903631</v>
      </c>
      <c r="BA19" s="354">
        <f>BA17-BA18</f>
        <v>-14503623.43</v>
      </c>
      <c r="BB19" s="354">
        <f>BB17-BB18</f>
        <v>303153.75903630909</v>
      </c>
      <c r="BC19" s="354">
        <f>BC17-BC18</f>
        <v>-14503623.43</v>
      </c>
      <c r="BD19" s="354">
        <f>BD17-BD18</f>
        <v>0</v>
      </c>
      <c r="BE19" s="7">
        <f t="shared" si="10"/>
        <v>6</v>
      </c>
      <c r="BF19" s="435" t="s">
        <v>164</v>
      </c>
      <c r="BH19" s="192">
        <v>874064.90702849126</v>
      </c>
      <c r="BI19" s="192">
        <v>852024.27302863146</v>
      </c>
      <c r="BJ19" s="192">
        <v>-22040.633999859798</v>
      </c>
      <c r="BK19" s="192">
        <v>852024.27302863146</v>
      </c>
      <c r="BL19" s="13">
        <v>0</v>
      </c>
      <c r="BM19" s="413">
        <v>6</v>
      </c>
      <c r="BN19" s="308" t="s">
        <v>155</v>
      </c>
      <c r="BO19" s="380">
        <f>+FIT_E</f>
        <v>0.21</v>
      </c>
      <c r="BP19" s="469">
        <f>-$BO$19*BP18</f>
        <v>-18742367.759175267</v>
      </c>
      <c r="BQ19" s="469">
        <f>-$BO$19*BQ18</f>
        <v>-18723272.441938885</v>
      </c>
      <c r="BR19" s="192">
        <f>BQ19-BP19</f>
        <v>19095.317236382514</v>
      </c>
      <c r="BS19" s="469">
        <f>-$BO$19*BS18</f>
        <v>-18742367.759175267</v>
      </c>
      <c r="BT19" s="328">
        <f>-BT18*BO19</f>
        <v>-19095.31723638187</v>
      </c>
      <c r="BU19" s="7">
        <f t="shared" si="11"/>
        <v>6</v>
      </c>
      <c r="BV19" s="320"/>
      <c r="CK19" s="7">
        <f t="shared" si="12"/>
        <v>6</v>
      </c>
      <c r="CL19" s="316" t="s">
        <v>216</v>
      </c>
      <c r="CM19" s="316"/>
      <c r="CN19" s="192">
        <v>0</v>
      </c>
      <c r="CO19" s="192">
        <v>68250</v>
      </c>
      <c r="CP19" s="192">
        <f>CO19-CN19</f>
        <v>68250</v>
      </c>
      <c r="CQ19" s="192">
        <f>+CO19</f>
        <v>68250</v>
      </c>
      <c r="CR19" s="192">
        <f>CQ19-CO19</f>
        <v>0</v>
      </c>
      <c r="CS19" s="302"/>
      <c r="DA19" s="302">
        <f>DA18+1</f>
        <v>6</v>
      </c>
      <c r="DB19" s="316" t="s">
        <v>95</v>
      </c>
      <c r="DC19" s="1"/>
      <c r="DD19" s="381">
        <f>-DD16-DD18</f>
        <v>-4572548.2346084611</v>
      </c>
      <c r="DE19" s="381">
        <f>-DE16-DE18</f>
        <v>-4252596.8449997427</v>
      </c>
      <c r="DF19" s="381">
        <f>-DF16-DF18</f>
        <v>319951.38960871822</v>
      </c>
      <c r="DG19" s="381">
        <f>-DG16-DG18</f>
        <v>-4695184.8463036362</v>
      </c>
      <c r="DH19" s="381">
        <f>-DH16-DH18</f>
        <v>-442588.00130389305</v>
      </c>
      <c r="DI19" s="7">
        <f t="shared" si="13"/>
        <v>6</v>
      </c>
      <c r="DJ19" s="220" t="s">
        <v>164</v>
      </c>
      <c r="DK19" s="320"/>
      <c r="DL19" s="221">
        <v>10657780.915169371</v>
      </c>
      <c r="DM19" s="221">
        <v>10661461.996836899</v>
      </c>
      <c r="DN19" s="454">
        <f t="shared" si="14"/>
        <v>3681.0816675275564</v>
      </c>
      <c r="DO19" s="454">
        <v>11005573.481128439</v>
      </c>
      <c r="DP19" s="454">
        <f t="shared" si="15"/>
        <v>344111.48429154046</v>
      </c>
      <c r="DQ19" s="7">
        <f t="shared" si="16"/>
        <v>6</v>
      </c>
      <c r="DR19" s="11"/>
      <c r="DS19" s="470"/>
      <c r="DT19" s="468"/>
      <c r="DU19" s="468"/>
      <c r="DV19" s="468"/>
      <c r="DW19" s="468"/>
      <c r="DX19" s="468"/>
      <c r="DY19" s="266">
        <v>6</v>
      </c>
      <c r="DZ19" s="471" t="s">
        <v>193</v>
      </c>
      <c r="EA19" s="350">
        <v>0.49997132880489842</v>
      </c>
      <c r="EB19" s="463">
        <f>EB17*$EA$19</f>
        <v>15089207.77566345</v>
      </c>
      <c r="EC19" s="463">
        <f>EC17*$EA$19</f>
        <v>15119397.968220374</v>
      </c>
      <c r="ED19" s="221">
        <f>EC19-EB19</f>
        <v>30190.192556923255</v>
      </c>
      <c r="EE19" s="463">
        <f>EE17*$EA$19</f>
        <v>15994394.029633511</v>
      </c>
      <c r="EF19" s="340">
        <f>EE19-EC19</f>
        <v>874996.06141313724</v>
      </c>
      <c r="EG19" s="266">
        <f t="shared" si="17"/>
        <v>6</v>
      </c>
      <c r="EH19" s="1" t="s">
        <v>38</v>
      </c>
      <c r="EJ19" s="187">
        <v>-106223263.53024991</v>
      </c>
      <c r="EK19" s="187">
        <v>-108090779.49447501</v>
      </c>
      <c r="EL19" s="187">
        <f t="shared" si="2"/>
        <v>-1867515.9642250985</v>
      </c>
      <c r="EM19" s="187">
        <f t="shared" si="3"/>
        <v>-108090779.49447501</v>
      </c>
      <c r="EN19" s="187">
        <f t="shared" si="4"/>
        <v>0</v>
      </c>
      <c r="EO19" s="266">
        <f t="shared" si="18"/>
        <v>6</v>
      </c>
      <c r="EP19" s="422" t="s">
        <v>380</v>
      </c>
      <c r="ER19" s="9">
        <v>7708455.0157819996</v>
      </c>
      <c r="ES19" s="9">
        <v>7809629.5241939761</v>
      </c>
      <c r="ET19" s="9">
        <f>ES19-ER19</f>
        <v>101174.50841197651</v>
      </c>
      <c r="EU19" s="9">
        <f>ES19</f>
        <v>7809629.5241939761</v>
      </c>
      <c r="EV19" s="9">
        <f>EU19-ES19</f>
        <v>0</v>
      </c>
      <c r="EW19" s="7">
        <f t="shared" si="19"/>
        <v>6</v>
      </c>
      <c r="EX19" s="3" t="s">
        <v>116</v>
      </c>
      <c r="EY19" s="350">
        <v>0.21</v>
      </c>
      <c r="EZ19" s="9">
        <f>-$EY$19*EZ17</f>
        <v>160386.10559999998</v>
      </c>
      <c r="FA19" s="9">
        <f>-$EY$19*FA17</f>
        <v>160386.10559999998</v>
      </c>
      <c r="FB19" s="9">
        <f>-$EY$19*FB17</f>
        <v>0</v>
      </c>
      <c r="FC19" s="9">
        <f>-$EY$19*FC17</f>
        <v>902518.54419999977</v>
      </c>
      <c r="FD19" s="9">
        <f>-$EY$19*FD17</f>
        <v>742132.43859999988</v>
      </c>
      <c r="FE19" s="266">
        <f>FE18+1</f>
        <v>6</v>
      </c>
      <c r="FF19" s="472" t="s">
        <v>95</v>
      </c>
      <c r="FG19" s="424"/>
      <c r="FH19" s="35">
        <f>-FH16-FH18</f>
        <v>-1124790.1499999997</v>
      </c>
      <c r="FI19" s="35">
        <f>-FI16-FI18</f>
        <v>-1124790.1499999997</v>
      </c>
      <c r="FJ19" s="35">
        <f>-FJ16-FJ18</f>
        <v>0</v>
      </c>
      <c r="FK19" s="35">
        <f>-FK16-FK18</f>
        <v>-1244907.8016537558</v>
      </c>
      <c r="FL19" s="35">
        <f>-FL16-FL18</f>
        <v>-120117.65165375613</v>
      </c>
      <c r="FM19" s="266">
        <f t="shared" si="20"/>
        <v>6</v>
      </c>
      <c r="FN19" s="320" t="s">
        <v>460</v>
      </c>
      <c r="FO19" s="331"/>
      <c r="FP19" s="334">
        <f>SUM(FP16:FP18)</f>
        <v>0</v>
      </c>
      <c r="FQ19" s="334">
        <f>SUM(FQ16:FQ18)</f>
        <v>0</v>
      </c>
      <c r="FR19" s="334">
        <f>SUM(FR16:FR18)</f>
        <v>0</v>
      </c>
      <c r="FS19" s="334">
        <f>SUM(FS16:FS18)</f>
        <v>56525781.661958858</v>
      </c>
      <c r="FT19" s="334">
        <f>SUM(FT16:FT18)</f>
        <v>56525781.661958858</v>
      </c>
      <c r="FU19" s="7">
        <v>5</v>
      </c>
      <c r="FV19" s="14" t="s">
        <v>542</v>
      </c>
      <c r="FW19" s="442"/>
      <c r="FX19" s="460">
        <v>881986.25952470012</v>
      </c>
      <c r="FY19" s="460">
        <v>881986.25952470012</v>
      </c>
      <c r="FZ19" s="460">
        <f t="shared" si="21"/>
        <v>0</v>
      </c>
      <c r="GA19" s="460">
        <v>660496.44105000002</v>
      </c>
      <c r="GB19" s="460">
        <f t="shared" si="22"/>
        <v>-221489.81847470009</v>
      </c>
      <c r="GC19" s="313">
        <f t="shared" si="23"/>
        <v>6</v>
      </c>
      <c r="GD19" s="320" t="s">
        <v>460</v>
      </c>
      <c r="GE19" s="331"/>
      <c r="GF19" s="334">
        <f>SUM(GF16:GF18)</f>
        <v>0</v>
      </c>
      <c r="GG19" s="334">
        <f>SUM(GG16:GG18)</f>
        <v>0</v>
      </c>
      <c r="GH19" s="334">
        <f>SUM(GH16:GH18)</f>
        <v>0</v>
      </c>
      <c r="GI19" s="334">
        <f>SUM(GI16:GI18)</f>
        <v>21056196.979831856</v>
      </c>
      <c r="GJ19" s="334">
        <f>SUM(GJ16:GJ18)</f>
        <v>21056196.979831856</v>
      </c>
      <c r="GK19" s="313">
        <f t="shared" si="24"/>
        <v>6</v>
      </c>
      <c r="GL19" s="6" t="s">
        <v>116</v>
      </c>
      <c r="GM19" s="348">
        <v>0.21</v>
      </c>
      <c r="GN19" s="187">
        <f>-GN17*GM19</f>
        <v>-174021.12</v>
      </c>
      <c r="GO19" s="187">
        <f>-GO17*GM19</f>
        <v>-174021.12</v>
      </c>
      <c r="GP19" s="187">
        <f>GO19-GN19</f>
        <v>0</v>
      </c>
      <c r="GQ19" s="187">
        <f>-GQ17*GM19</f>
        <v>-47135.724567749996</v>
      </c>
      <c r="GR19" s="187">
        <f>GQ19-GO19</f>
        <v>126885.39543224999</v>
      </c>
      <c r="GS19" s="313">
        <f t="shared" si="25"/>
        <v>6</v>
      </c>
      <c r="GT19" s="6" t="s">
        <v>454</v>
      </c>
      <c r="GU19" s="331"/>
      <c r="GV19" s="12">
        <v>0</v>
      </c>
      <c r="GW19" s="12">
        <f>GV19</f>
        <v>0</v>
      </c>
      <c r="GX19" s="12">
        <f>GW19-GV19</f>
        <v>0</v>
      </c>
      <c r="GY19" s="12">
        <v>-9006372.2399999984</v>
      </c>
      <c r="GZ19" s="12">
        <f>GY19-GW19</f>
        <v>-9006372.2399999984</v>
      </c>
      <c r="HA19" s="7">
        <v>6</v>
      </c>
      <c r="HB19" s="14"/>
      <c r="HC19" s="14"/>
      <c r="HD19" s="14"/>
      <c r="HE19" s="14"/>
      <c r="HF19" s="14"/>
      <c r="HG19" s="14"/>
      <c r="HH19" s="14"/>
      <c r="HI19" s="313">
        <f t="shared" si="26"/>
        <v>6</v>
      </c>
      <c r="HJ19" s="337"/>
      <c r="HQ19" s="313">
        <f t="shared" si="27"/>
        <v>6</v>
      </c>
      <c r="HR19" s="1" t="s">
        <v>460</v>
      </c>
      <c r="HS19" s="11"/>
      <c r="HT19" s="188">
        <f>SUM(HT16:HT18)</f>
        <v>0</v>
      </c>
      <c r="HU19" s="188">
        <f>SUM(HU16:HU18)</f>
        <v>0</v>
      </c>
      <c r="HV19" s="188">
        <f>SUM(HV16:HV18)</f>
        <v>0</v>
      </c>
      <c r="HW19" s="188">
        <f>SUM(HW16:HW18)</f>
        <v>5798357.5857409984</v>
      </c>
      <c r="HX19" s="188">
        <f>SUM(HX16:HX18)</f>
        <v>5798357.5857409984</v>
      </c>
      <c r="HY19" s="313">
        <f t="shared" si="28"/>
        <v>6</v>
      </c>
      <c r="HZ19" s="175"/>
      <c r="IA19" s="638"/>
      <c r="IB19" s="175"/>
      <c r="IC19" s="175"/>
      <c r="ID19" s="175"/>
      <c r="IE19" s="175"/>
      <c r="IF19" s="175"/>
    </row>
    <row r="20" spans="1:242" ht="15" thickTop="1" thickBot="1" x14ac:dyDescent="0.3">
      <c r="A20" s="407">
        <f t="shared" si="5"/>
        <v>8</v>
      </c>
      <c r="B20" s="344" t="s">
        <v>501</v>
      </c>
      <c r="C20" s="1"/>
      <c r="D20" s="662"/>
      <c r="E20" s="662"/>
      <c r="F20" s="443">
        <v>0</v>
      </c>
      <c r="G20" s="664"/>
      <c r="H20" s="443">
        <v>-18966470.07</v>
      </c>
      <c r="I20" s="266">
        <f t="shared" si="0"/>
        <v>8</v>
      </c>
      <c r="J20" s="316" t="s">
        <v>125</v>
      </c>
      <c r="K20" s="473">
        <f>'COC, Def, ConvF'!M12</f>
        <v>8.4790000000000004E-3</v>
      </c>
      <c r="L20" s="474">
        <f>$L$18*$K20</f>
        <v>6852234.8654534454</v>
      </c>
      <c r="M20" s="474">
        <f>M$18*$K20</f>
        <v>6907787.7557124458</v>
      </c>
      <c r="N20" s="474">
        <f>$N$18*$K20</f>
        <v>55552.890259</v>
      </c>
      <c r="O20" s="474">
        <f>O$18*$K20</f>
        <v>7004496.5673064459</v>
      </c>
      <c r="P20" s="474">
        <f>O20-M20</f>
        <v>96708.811594000086</v>
      </c>
      <c r="R20" s="1"/>
      <c r="S20" s="1"/>
      <c r="T20" s="1"/>
      <c r="U20" s="1"/>
      <c r="V20" s="1"/>
      <c r="W20" s="1"/>
      <c r="X20" s="1"/>
      <c r="Y20" s="266">
        <f t="shared" si="6"/>
        <v>7</v>
      </c>
      <c r="Z20" s="405"/>
      <c r="AB20" s="14"/>
      <c r="AC20" s="213"/>
      <c r="AD20" s="213"/>
      <c r="AE20" s="213"/>
      <c r="AF20" s="213"/>
      <c r="AG20" s="407">
        <f t="shared" si="1"/>
        <v>7</v>
      </c>
      <c r="AH20" s="367" t="s">
        <v>134</v>
      </c>
      <c r="AJ20" s="221">
        <v>-81156080.872999996</v>
      </c>
      <c r="AK20" s="221">
        <v>0</v>
      </c>
      <c r="AL20" s="221">
        <f t="shared" si="7"/>
        <v>81156080.872999996</v>
      </c>
      <c r="AM20" s="221">
        <f t="shared" si="8"/>
        <v>0</v>
      </c>
      <c r="AN20" s="221">
        <f t="shared" si="29"/>
        <v>0</v>
      </c>
      <c r="AO20" s="266">
        <f t="shared" si="9"/>
        <v>7</v>
      </c>
      <c r="AP20" s="1"/>
      <c r="AQ20" s="1"/>
      <c r="AR20" s="343"/>
      <c r="AS20" s="343"/>
      <c r="AT20" s="343"/>
      <c r="AU20" s="447">
        <f>SUM(AU18:AU19)</f>
        <v>921168.74924929114</v>
      </c>
      <c r="AV20" s="39"/>
      <c r="AW20" s="7"/>
      <c r="AX20" s="413"/>
      <c r="AY20" s="7"/>
      <c r="AZ20" s="475"/>
      <c r="BA20" s="356"/>
      <c r="BB20" s="408"/>
      <c r="BC20" s="408"/>
      <c r="BD20" s="408"/>
      <c r="BE20" s="7">
        <f t="shared" si="10"/>
        <v>7</v>
      </c>
      <c r="BF20" s="435" t="s">
        <v>165</v>
      </c>
      <c r="BH20" s="192">
        <v>108711.12567047201</v>
      </c>
      <c r="BI20" s="192">
        <v>106039.76376027713</v>
      </c>
      <c r="BJ20" s="192">
        <v>-2671.3619101948861</v>
      </c>
      <c r="BK20" s="192">
        <v>106039.76376027713</v>
      </c>
      <c r="BL20" s="13">
        <v>0</v>
      </c>
      <c r="BM20" s="413">
        <v>7</v>
      </c>
      <c r="BN20" s="308" t="s">
        <v>121</v>
      </c>
      <c r="BO20" s="308"/>
      <c r="BP20" s="352">
        <f>-BP18-BP19</f>
        <v>-70507002.522611722</v>
      </c>
      <c r="BQ20" s="352">
        <f>-BQ18-BQ19</f>
        <v>-70435167.757770091</v>
      </c>
      <c r="BR20" s="352">
        <f>-BR18-BR19</f>
        <v>71834.76484162733</v>
      </c>
      <c r="BS20" s="352">
        <f>-BS18-BS19</f>
        <v>-70507002.522611722</v>
      </c>
      <c r="BT20" s="352">
        <f>-BT18-BT19</f>
        <v>-71834.764841627039</v>
      </c>
      <c r="BU20" s="7">
        <f t="shared" si="11"/>
        <v>7</v>
      </c>
      <c r="BV20" s="308" t="s">
        <v>128</v>
      </c>
      <c r="BW20" s="476">
        <f>FIT_E</f>
        <v>0.21</v>
      </c>
      <c r="BX20" s="477">
        <f>-BX18*$BW$20</f>
        <v>-17672.494185852189</v>
      </c>
      <c r="BY20" s="477">
        <f>-BY18*$BW$20</f>
        <v>-16263.27870541564</v>
      </c>
      <c r="BZ20" s="477">
        <f>-BZ18*$BW$20</f>
        <v>1409.2154804365487</v>
      </c>
      <c r="CA20" s="477">
        <f>-CA18*$BW$20</f>
        <v>-17672.494185852189</v>
      </c>
      <c r="CB20" s="477">
        <f>-CB18*$BW$20</f>
        <v>-1409.2154804365487</v>
      </c>
      <c r="CK20" s="7">
        <f t="shared" si="12"/>
        <v>7</v>
      </c>
      <c r="CL20" s="316" t="s">
        <v>142</v>
      </c>
      <c r="CM20" s="316"/>
      <c r="CN20" s="23">
        <f>SUM(CN16:CN19)</f>
        <v>-11803.907603</v>
      </c>
      <c r="CO20" s="23">
        <f>SUM(CO16:CO19)</f>
        <v>616750</v>
      </c>
      <c r="CP20" s="23">
        <f>SUM(CP16:CP19)</f>
        <v>628553.90760300006</v>
      </c>
      <c r="CQ20" s="23">
        <f>SUM(CQ16:CQ19)</f>
        <v>616750</v>
      </c>
      <c r="CR20" s="23">
        <f>SUM(CR16:CR19)</f>
        <v>0</v>
      </c>
      <c r="CS20" s="302"/>
      <c r="DA20" s="302"/>
      <c r="DI20" s="7">
        <f t="shared" si="13"/>
        <v>7</v>
      </c>
      <c r="DJ20" s="220" t="s">
        <v>165</v>
      </c>
      <c r="DK20" s="320"/>
      <c r="DL20" s="221">
        <v>1325772.7039111818</v>
      </c>
      <c r="DM20" s="453">
        <v>1326921.5073119954</v>
      </c>
      <c r="DN20" s="454">
        <f t="shared" si="14"/>
        <v>1148.8034008136019</v>
      </c>
      <c r="DO20" s="454">
        <v>1376273.7558263356</v>
      </c>
      <c r="DP20" s="454">
        <f t="shared" si="15"/>
        <v>49352.248514340259</v>
      </c>
      <c r="DQ20" s="7">
        <f t="shared" si="16"/>
        <v>7</v>
      </c>
      <c r="DR20" s="419" t="s">
        <v>189</v>
      </c>
      <c r="DS20" s="647"/>
      <c r="DT20" s="468"/>
      <c r="DU20" s="468"/>
      <c r="DV20" s="468"/>
      <c r="DW20" s="468"/>
      <c r="DX20" s="468"/>
      <c r="DY20" s="266">
        <v>7</v>
      </c>
      <c r="DZ20" s="478" t="s">
        <v>393</v>
      </c>
      <c r="EA20" s="479"/>
      <c r="EB20" s="456">
        <v>15121148.928192388</v>
      </c>
      <c r="EC20" s="456">
        <v>15121148.928192388</v>
      </c>
      <c r="ED20" s="186">
        <f>EC20-EB20</f>
        <v>0</v>
      </c>
      <c r="EE20" s="456">
        <v>15121148.928192388</v>
      </c>
      <c r="EF20" s="480">
        <f>EE20-EC20</f>
        <v>0</v>
      </c>
      <c r="EG20" s="266">
        <f t="shared" si="17"/>
        <v>7</v>
      </c>
      <c r="EH20" s="1" t="s">
        <v>39</v>
      </c>
      <c r="EJ20" s="387">
        <f>SUM(EJ14:EJ19)</f>
        <v>5208778506.3049917</v>
      </c>
      <c r="EK20" s="387">
        <f>SUM(EK14:EK19)</f>
        <v>5391596748.4084454</v>
      </c>
      <c r="EL20" s="387">
        <f>SUM(EL14:EL19)</f>
        <v>182818242.10345364</v>
      </c>
      <c r="EM20" s="387">
        <f>SUM(EM14:EM19)</f>
        <v>5391596748.4084454</v>
      </c>
      <c r="EN20" s="481">
        <f>SUM(EN14:EN19)</f>
        <v>0</v>
      </c>
      <c r="EO20" s="266">
        <f t="shared" si="18"/>
        <v>7</v>
      </c>
      <c r="EP20" s="422" t="s">
        <v>381</v>
      </c>
      <c r="ER20" s="187">
        <v>3557679.0999999996</v>
      </c>
      <c r="ES20" s="187">
        <v>3537694.0799999996</v>
      </c>
      <c r="ET20" s="187">
        <f>ES20-ER20</f>
        <v>-19985.020000000019</v>
      </c>
      <c r="EU20" s="187">
        <f>ES20</f>
        <v>3537694.0799999996</v>
      </c>
      <c r="EV20" s="187">
        <f>EU20-ES20</f>
        <v>0</v>
      </c>
      <c r="EW20" s="7">
        <f t="shared" si="19"/>
        <v>7</v>
      </c>
      <c r="EX20" s="3" t="s">
        <v>95</v>
      </c>
      <c r="EY20" s="3"/>
      <c r="EZ20" s="35">
        <f>-EZ17-EZ19</f>
        <v>603357.25439999998</v>
      </c>
      <c r="FA20" s="35">
        <f>-FA17-FA19</f>
        <v>603357.25439999998</v>
      </c>
      <c r="FB20" s="35">
        <f>-FB17-FB19</f>
        <v>0</v>
      </c>
      <c r="FC20" s="35">
        <f>-FC17-FC19</f>
        <v>3395188.8091333327</v>
      </c>
      <c r="FD20" s="35">
        <f>-FD17-FD19</f>
        <v>2791831.5547333327</v>
      </c>
      <c r="FE20" s="266"/>
      <c r="FF20" s="421"/>
      <c r="FG20" s="421"/>
      <c r="FH20" s="482"/>
      <c r="FI20" s="482"/>
      <c r="FJ20" s="483"/>
      <c r="FK20" s="465"/>
      <c r="FL20" s="378"/>
      <c r="FM20" s="266">
        <f t="shared" si="20"/>
        <v>7</v>
      </c>
      <c r="FN20" s="309" t="s">
        <v>461</v>
      </c>
      <c r="FO20" s="331"/>
      <c r="FP20" s="334"/>
      <c r="FQ20" s="334"/>
      <c r="FR20" s="334"/>
      <c r="FS20" s="334"/>
      <c r="FT20" s="334"/>
      <c r="FU20" s="7">
        <v>6</v>
      </c>
      <c r="FV20" s="14" t="s">
        <v>543</v>
      </c>
      <c r="FW20" s="442"/>
      <c r="FX20" s="460">
        <v>324257.87030945002</v>
      </c>
      <c r="FY20" s="460">
        <v>324257.87030945002</v>
      </c>
      <c r="FZ20" s="460">
        <f t="shared" si="21"/>
        <v>0</v>
      </c>
      <c r="GA20" s="460">
        <v>783108.6066846</v>
      </c>
      <c r="GB20" s="460">
        <f t="shared" si="22"/>
        <v>458850.73637514998</v>
      </c>
      <c r="GC20" s="313">
        <f t="shared" si="23"/>
        <v>7</v>
      </c>
      <c r="GD20" s="320"/>
      <c r="GE20" s="331"/>
      <c r="GF20" s="334"/>
      <c r="GG20" s="334"/>
      <c r="GH20" s="334"/>
      <c r="GI20" s="334"/>
      <c r="GJ20" s="334"/>
      <c r="GK20" s="313">
        <f t="shared" si="24"/>
        <v>7</v>
      </c>
      <c r="GL20" s="6" t="s">
        <v>95</v>
      </c>
      <c r="GN20" s="189">
        <f>-GN17-GN19</f>
        <v>-654650.88</v>
      </c>
      <c r="GO20" s="189">
        <f>-GO17-GO19</f>
        <v>-654650.88</v>
      </c>
      <c r="GP20" s="189">
        <f>-GP17-GP19</f>
        <v>0</v>
      </c>
      <c r="GQ20" s="189">
        <f>-GQ17-GQ19</f>
        <v>-177320.10670725</v>
      </c>
      <c r="GR20" s="189">
        <f>-GR17-GR19</f>
        <v>477330.77329275</v>
      </c>
      <c r="GS20" s="313">
        <f t="shared" si="25"/>
        <v>7</v>
      </c>
      <c r="GT20" s="6" t="s">
        <v>110</v>
      </c>
      <c r="GU20" s="320"/>
      <c r="GV20" s="39">
        <f>GV19</f>
        <v>0</v>
      </c>
      <c r="GW20" s="39">
        <f>GW19</f>
        <v>0</v>
      </c>
      <c r="GX20" s="39">
        <f>GX19</f>
        <v>0</v>
      </c>
      <c r="GY20" s="39">
        <f>GY19</f>
        <v>-9006372.2399999984</v>
      </c>
      <c r="GZ20" s="39">
        <f>GZ19</f>
        <v>-9006372.2399999984</v>
      </c>
      <c r="HA20" s="7">
        <v>7</v>
      </c>
      <c r="HB20" s="309" t="s">
        <v>436</v>
      </c>
      <c r="HC20" s="309"/>
      <c r="HD20" s="14"/>
      <c r="HE20" s="14"/>
      <c r="HF20" s="14"/>
      <c r="HG20" s="14"/>
      <c r="HH20" s="14"/>
      <c r="HI20" s="313">
        <f t="shared" si="26"/>
        <v>7</v>
      </c>
      <c r="HJ20" s="337" t="s">
        <v>146</v>
      </c>
      <c r="HK20" s="190">
        <f>FIT_E</f>
        <v>0.21</v>
      </c>
      <c r="HL20" s="187">
        <f>-HL18*HK20</f>
        <v>-13141610.04428055</v>
      </c>
      <c r="HM20" s="187">
        <f>-HM18*HK20</f>
        <v>-13141610.04428055</v>
      </c>
      <c r="HN20" s="187">
        <f>HM20-HL20</f>
        <v>0</v>
      </c>
      <c r="HO20" s="187">
        <f>-HO18*HK20</f>
        <v>-13495347.323287621</v>
      </c>
      <c r="HP20" s="187">
        <f>HO20-HM20</f>
        <v>-353737.27900707163</v>
      </c>
      <c r="HQ20" s="313">
        <f t="shared" si="27"/>
        <v>7</v>
      </c>
      <c r="HS20" s="11"/>
      <c r="HY20" s="313">
        <f t="shared" si="28"/>
        <v>7</v>
      </c>
      <c r="HZ20" s="175" t="s">
        <v>446</v>
      </c>
      <c r="IA20" s="638"/>
      <c r="IB20" s="644">
        <f t="shared" ref="IB20:ID20" si="30">IB18</f>
        <v>211405.47488111624</v>
      </c>
      <c r="IC20" s="644">
        <f t="shared" si="30"/>
        <v>0</v>
      </c>
      <c r="ID20" s="644">
        <f t="shared" si="30"/>
        <v>-211405.47488111624</v>
      </c>
      <c r="IE20" s="644">
        <f>IE18</f>
        <v>0</v>
      </c>
      <c r="IF20" s="644">
        <f t="shared" ref="IF20" si="31">IF18</f>
        <v>0</v>
      </c>
    </row>
    <row r="21" spans="1:242" ht="15.6" thickTop="1" thickBot="1" x14ac:dyDescent="0.35">
      <c r="A21" s="407">
        <f t="shared" si="5"/>
        <v>9</v>
      </c>
      <c r="B21" s="344" t="s">
        <v>495</v>
      </c>
      <c r="C21" s="1"/>
      <c r="D21" s="662"/>
      <c r="E21" s="662"/>
      <c r="F21" s="443">
        <v>114.23000000000138</v>
      </c>
      <c r="G21" s="664"/>
      <c r="H21" s="443">
        <v>0</v>
      </c>
      <c r="I21" s="266">
        <f t="shared" si="0"/>
        <v>9</v>
      </c>
      <c r="J21" s="316" t="s">
        <v>126</v>
      </c>
      <c r="K21" s="473">
        <f>'COC, Def, ConvF'!M13</f>
        <v>2E-3</v>
      </c>
      <c r="L21" s="474">
        <f>$L$18*$K21</f>
        <v>1616283.7281409234</v>
      </c>
      <c r="M21" s="474">
        <f>$M$18*$K21</f>
        <v>1629387.3701409234</v>
      </c>
      <c r="N21" s="474">
        <f>$N$18*$K21</f>
        <v>13103.642</v>
      </c>
      <c r="O21" s="474">
        <f>O$18*$K21</f>
        <v>1652198.7421409236</v>
      </c>
      <c r="P21" s="474">
        <f>O21-M21</f>
        <v>22811.372000000207</v>
      </c>
      <c r="R21" s="484"/>
      <c r="S21" s="484"/>
      <c r="T21" s="484"/>
      <c r="U21" s="484"/>
      <c r="V21" s="484"/>
      <c r="W21" s="484"/>
      <c r="X21" s="484"/>
      <c r="Y21" s="266">
        <f t="shared" si="6"/>
        <v>8</v>
      </c>
      <c r="Z21" s="345" t="s">
        <v>154</v>
      </c>
      <c r="AA21" s="190">
        <f>FIT_E</f>
        <v>0.21</v>
      </c>
      <c r="AB21" s="18">
        <f>-AB19*$AA$21</f>
        <v>0</v>
      </c>
      <c r="AC21" s="637">
        <f>-AC19*$AA$21</f>
        <v>-33104040.978384849</v>
      </c>
      <c r="AD21" s="637">
        <f>-AD19*$AA$21</f>
        <v>-33104040.978384849</v>
      </c>
      <c r="AE21" s="637">
        <f>-AE19*$AA$21</f>
        <v>-32746888.490259748</v>
      </c>
      <c r="AF21" s="637">
        <f>-AF19*$AA$21</f>
        <v>357152.48812509922</v>
      </c>
      <c r="AG21" s="407">
        <f t="shared" si="1"/>
        <v>8</v>
      </c>
      <c r="AH21" s="485" t="s">
        <v>206</v>
      </c>
      <c r="AJ21" s="221">
        <v>-657452.02800000005</v>
      </c>
      <c r="AK21" s="221">
        <v>0</v>
      </c>
      <c r="AL21" s="221">
        <f t="shared" si="7"/>
        <v>657452.02800000005</v>
      </c>
      <c r="AM21" s="221">
        <f t="shared" si="8"/>
        <v>0</v>
      </c>
      <c r="AN21" s="221">
        <f t="shared" si="29"/>
        <v>0</v>
      </c>
      <c r="AO21" s="266">
        <f t="shared" si="9"/>
        <v>8</v>
      </c>
      <c r="AP21" s="486" t="s">
        <v>95</v>
      </c>
      <c r="AQ21" s="486"/>
      <c r="AR21" s="40">
        <f>-AR18-AR19</f>
        <v>-987766.12411446206</v>
      </c>
      <c r="AS21" s="40">
        <f>-AS18-AS19</f>
        <v>-921168.74924929114</v>
      </c>
      <c r="AT21" s="40">
        <f>-AT18-AT19</f>
        <v>66597.374865170947</v>
      </c>
      <c r="AU21" s="40">
        <f>-AU18-AU19</f>
        <v>-921168.74924929114</v>
      </c>
      <c r="AV21" s="40">
        <f>-AV18-AV19</f>
        <v>0</v>
      </c>
      <c r="AW21" s="7"/>
      <c r="AX21" s="413"/>
      <c r="AY21" s="7"/>
      <c r="AZ21" s="367"/>
      <c r="BA21" s="346"/>
      <c r="BB21" s="343"/>
      <c r="BC21" s="346"/>
      <c r="BD21" s="346"/>
      <c r="BE21" s="7">
        <f t="shared" si="10"/>
        <v>8</v>
      </c>
      <c r="BF21" s="435" t="s">
        <v>166</v>
      </c>
      <c r="BH21" s="192">
        <v>39554.718969287766</v>
      </c>
      <c r="BI21" s="192">
        <v>38617.715938259505</v>
      </c>
      <c r="BJ21" s="192">
        <v>-937.00303102826001</v>
      </c>
      <c r="BK21" s="192">
        <v>38617.715938259505</v>
      </c>
      <c r="BL21" s="13">
        <v>0</v>
      </c>
      <c r="BM21" s="302"/>
      <c r="BN21" s="487"/>
      <c r="BO21" s="13"/>
      <c r="BP21" s="11"/>
      <c r="BQ21" s="11"/>
      <c r="BR21" s="11"/>
      <c r="BS21" s="11"/>
      <c r="BT21" s="11"/>
      <c r="BU21" s="7">
        <f t="shared" si="11"/>
        <v>8</v>
      </c>
      <c r="BV21" s="308" t="s">
        <v>95</v>
      </c>
      <c r="BW21" s="303"/>
      <c r="BX21" s="488">
        <f>-BX18-BX20</f>
        <v>-66482.240032491565</v>
      </c>
      <c r="BY21" s="488">
        <f>-BY18-BY20</f>
        <v>-61180.905606087414</v>
      </c>
      <c r="BZ21" s="488">
        <f>-BZ18-BZ20</f>
        <v>5301.3344264041589</v>
      </c>
      <c r="CA21" s="488">
        <f>-CA18-CA20</f>
        <v>-66482.240032491565</v>
      </c>
      <c r="CB21" s="488">
        <f>-CB18-CB20</f>
        <v>-5301.3344264041589</v>
      </c>
      <c r="CK21" s="7">
        <f t="shared" si="12"/>
        <v>8</v>
      </c>
      <c r="CL21" s="337"/>
      <c r="CM21" s="337"/>
      <c r="DA21" s="302"/>
      <c r="DI21" s="7">
        <f t="shared" si="13"/>
        <v>8</v>
      </c>
      <c r="DJ21" s="220" t="s">
        <v>166</v>
      </c>
      <c r="DK21" s="320"/>
      <c r="DL21" s="221">
        <v>482719.13067690859</v>
      </c>
      <c r="DM21" s="221">
        <v>483201.84980758541</v>
      </c>
      <c r="DN21" s="454">
        <f t="shared" si="14"/>
        <v>482.71913067682181</v>
      </c>
      <c r="DO21" s="454">
        <v>501708.48065521597</v>
      </c>
      <c r="DP21" s="454">
        <f t="shared" si="15"/>
        <v>18506.630847630557</v>
      </c>
      <c r="DQ21" s="7">
        <f t="shared" si="16"/>
        <v>8</v>
      </c>
      <c r="DR21" s="308" t="s">
        <v>190</v>
      </c>
      <c r="DS21" s="16"/>
      <c r="DT21" s="468">
        <v>1056410.8019999999</v>
      </c>
      <c r="DU21" s="468">
        <v>1080180.0450449998</v>
      </c>
      <c r="DV21" s="468">
        <f>+DU21-DT21</f>
        <v>23769.243044999894</v>
      </c>
      <c r="DW21" s="468">
        <v>1143181.5461722496</v>
      </c>
      <c r="DX21" s="468">
        <f>+DW21-DU21</f>
        <v>63001.501127249794</v>
      </c>
      <c r="DY21" s="266">
        <v>8</v>
      </c>
      <c r="DZ21" s="3" t="s">
        <v>103</v>
      </c>
      <c r="EA21" s="1"/>
      <c r="EB21" s="465">
        <f>EB19-EB20</f>
        <v>-31941.152528937906</v>
      </c>
      <c r="EC21" s="465">
        <f>EC19-EC20</f>
        <v>-1750.9599720146507</v>
      </c>
      <c r="ED21" s="221">
        <f>EC21-EB21</f>
        <v>30190.192556923255</v>
      </c>
      <c r="EE21" s="465">
        <f>EE19-EE20</f>
        <v>873245.10144112259</v>
      </c>
      <c r="EF21" s="346">
        <f>SUM(EF19:EF20)</f>
        <v>874996.06141313724</v>
      </c>
      <c r="EG21" s="266"/>
      <c r="EJ21" s="9"/>
      <c r="EK21" s="9"/>
      <c r="EL21" s="9"/>
      <c r="EM21" s="9"/>
      <c r="EN21" s="9"/>
      <c r="EO21" s="266">
        <f t="shared" si="18"/>
        <v>8</v>
      </c>
      <c r="EP21" s="422" t="s">
        <v>382</v>
      </c>
      <c r="ER21" s="9">
        <f>SUM(ER18:ER20)</f>
        <v>405261817.13353872</v>
      </c>
      <c r="ES21" s="9">
        <f>SUM(ES18:ES20)</f>
        <v>426660492.4238199</v>
      </c>
      <c r="ET21" s="9">
        <f>SUM(ET18:ET20)</f>
        <v>21398675.290281195</v>
      </c>
      <c r="EU21" s="9">
        <f>SUM(EU18:EU20)</f>
        <v>426660492.4238199</v>
      </c>
      <c r="EV21" s="9">
        <f>SUM(EV18:EV20)</f>
        <v>0</v>
      </c>
      <c r="EW21" s="7"/>
      <c r="FE21" s="266"/>
      <c r="FF21" s="375"/>
      <c r="FG21" s="375"/>
      <c r="FH21" s="375"/>
      <c r="FI21" s="14"/>
      <c r="FJ21" s="14"/>
      <c r="FK21" s="14"/>
      <c r="FL21" s="14"/>
      <c r="FM21" s="266">
        <f t="shared" si="20"/>
        <v>8</v>
      </c>
      <c r="FN21" s="331" t="s">
        <v>443</v>
      </c>
      <c r="FO21" s="331"/>
      <c r="FP21" s="346">
        <v>0</v>
      </c>
      <c r="FQ21" s="346">
        <v>0</v>
      </c>
      <c r="FR21" s="346">
        <v>0</v>
      </c>
      <c r="FS21" s="346">
        <v>12816322.655450838</v>
      </c>
      <c r="FT21" s="346">
        <f>+FS21-FR21</f>
        <v>12816322.655450838</v>
      </c>
      <c r="FU21" s="7">
        <v>7</v>
      </c>
      <c r="FV21" s="14" t="s">
        <v>544</v>
      </c>
      <c r="FW21" s="442"/>
      <c r="FX21" s="460">
        <v>894121.3755996502</v>
      </c>
      <c r="FY21" s="460">
        <v>894121.3755996502</v>
      </c>
      <c r="FZ21" s="460">
        <f t="shared" si="21"/>
        <v>0</v>
      </c>
      <c r="GA21" s="460">
        <v>715521.3874128001</v>
      </c>
      <c r="GB21" s="460">
        <f t="shared" si="22"/>
        <v>-178599.9881868501</v>
      </c>
      <c r="GC21" s="313">
        <f t="shared" si="23"/>
        <v>8</v>
      </c>
      <c r="GD21" s="309" t="s">
        <v>461</v>
      </c>
      <c r="GE21" s="331"/>
      <c r="GF21" s="346"/>
      <c r="GG21" s="346"/>
      <c r="GH21" s="346"/>
      <c r="GI21" s="346"/>
      <c r="GJ21" s="346"/>
      <c r="GK21" s="313"/>
      <c r="GS21" s="313">
        <f t="shared" si="25"/>
        <v>8</v>
      </c>
      <c r="GU21" s="308"/>
      <c r="GV21" s="11"/>
      <c r="GW21" s="11"/>
      <c r="GX21" s="11"/>
      <c r="GY21" s="11"/>
      <c r="GZ21" s="11"/>
      <c r="HA21" s="7">
        <v>8</v>
      </c>
      <c r="HB21" s="220" t="s">
        <v>102</v>
      </c>
      <c r="HC21" s="220"/>
      <c r="HD21" s="8">
        <v>0</v>
      </c>
      <c r="HE21" s="8">
        <v>0</v>
      </c>
      <c r="HF21" s="8">
        <f>HE21-HD21</f>
        <v>0</v>
      </c>
      <c r="HG21" s="8">
        <v>737379.34131125675</v>
      </c>
      <c r="HH21" s="8">
        <f>HG21-HF21</f>
        <v>737379.34131125675</v>
      </c>
      <c r="HI21" s="313">
        <f t="shared" si="26"/>
        <v>8</v>
      </c>
      <c r="HJ21" s="337" t="s">
        <v>121</v>
      </c>
      <c r="HL21" s="35">
        <f>-HL18-HL20</f>
        <v>-49437485.404674448</v>
      </c>
      <c r="HM21" s="35">
        <f>-HM18-HM20</f>
        <v>-49437485.404674448</v>
      </c>
      <c r="HN21" s="35">
        <f>-HN18-HN20</f>
        <v>0</v>
      </c>
      <c r="HO21" s="35">
        <f>-HO18-HO20</f>
        <v>-50768211.359034389</v>
      </c>
      <c r="HP21" s="35">
        <f>-HP18-HP20</f>
        <v>-1330725.9543599267</v>
      </c>
      <c r="HQ21" s="313">
        <f t="shared" si="27"/>
        <v>8</v>
      </c>
      <c r="HR21" s="6" t="s">
        <v>446</v>
      </c>
      <c r="HS21" s="11"/>
      <c r="HT21" s="188">
        <f t="shared" ref="HT21:HV21" si="32">HT19</f>
        <v>0</v>
      </c>
      <c r="HU21" s="188">
        <f t="shared" si="32"/>
        <v>0</v>
      </c>
      <c r="HV21" s="188">
        <f t="shared" si="32"/>
        <v>0</v>
      </c>
      <c r="HW21" s="188">
        <f>HW19</f>
        <v>5798357.5857409984</v>
      </c>
      <c r="HX21" s="188">
        <f t="shared" ref="HX21" si="33">HX19</f>
        <v>5798357.5857409984</v>
      </c>
      <c r="HY21" s="313">
        <f t="shared" si="28"/>
        <v>8</v>
      </c>
      <c r="HZ21" s="156"/>
      <c r="IA21" s="156"/>
      <c r="IB21" s="156"/>
      <c r="IC21" s="156"/>
      <c r="ID21" s="156"/>
      <c r="IE21" s="156"/>
      <c r="IF21" s="156"/>
    </row>
    <row r="22" spans="1:242" ht="15.6" thickTop="1" thickBot="1" x14ac:dyDescent="0.35">
      <c r="A22" s="407">
        <f t="shared" si="5"/>
        <v>10</v>
      </c>
      <c r="B22" s="344" t="s">
        <v>358</v>
      </c>
      <c r="C22" s="1"/>
      <c r="D22" s="663"/>
      <c r="E22" s="663"/>
      <c r="F22" s="191">
        <v>3810955</v>
      </c>
      <c r="G22" s="663"/>
      <c r="H22" s="191">
        <v>0</v>
      </c>
      <c r="I22" s="266">
        <f t="shared" si="0"/>
        <v>10</v>
      </c>
      <c r="J22" s="316" t="s">
        <v>127</v>
      </c>
      <c r="K22" s="473">
        <f>'COC, Def, ConvF'!M14</f>
        <v>3.8406000000000003E-2</v>
      </c>
      <c r="L22" s="474">
        <f>$L$18*$K22</f>
        <v>31037496.431490157</v>
      </c>
      <c r="M22" s="474">
        <f>$M$18*$K22</f>
        <v>31289125.668816157</v>
      </c>
      <c r="N22" s="474">
        <f>$N$18*$K22</f>
        <v>251629.23732600003</v>
      </c>
      <c r="O22" s="474">
        <f>O$18*$K22</f>
        <v>31727172.445332155</v>
      </c>
      <c r="P22" s="474">
        <f>O22-M22</f>
        <v>438046.77651599795</v>
      </c>
      <c r="R22" s="1"/>
      <c r="S22" s="1"/>
      <c r="T22" s="1"/>
      <c r="U22" s="1"/>
      <c r="V22" s="1"/>
      <c r="W22" s="1"/>
      <c r="X22" s="1"/>
      <c r="Y22" s="266">
        <f t="shared" si="6"/>
        <v>9</v>
      </c>
      <c r="Z22" s="345" t="s">
        <v>95</v>
      </c>
      <c r="AB22" s="20">
        <f>-AB21</f>
        <v>0</v>
      </c>
      <c r="AC22" s="648">
        <f>-AC21</f>
        <v>33104040.978384849</v>
      </c>
      <c r="AD22" s="648">
        <f>-AD21</f>
        <v>33104040.978384849</v>
      </c>
      <c r="AE22" s="648">
        <f>-AE21</f>
        <v>32746888.490259748</v>
      </c>
      <c r="AF22" s="648">
        <f>-AF21</f>
        <v>-357152.48812509922</v>
      </c>
      <c r="AG22" s="407">
        <f t="shared" si="1"/>
        <v>9</v>
      </c>
      <c r="AH22" s="485" t="s">
        <v>207</v>
      </c>
      <c r="AJ22" s="221">
        <v>544146.44999999995</v>
      </c>
      <c r="AK22" s="221">
        <v>0</v>
      </c>
      <c r="AL22" s="221">
        <f t="shared" si="7"/>
        <v>-544146.44999999995</v>
      </c>
      <c r="AM22" s="221">
        <f t="shared" si="8"/>
        <v>0</v>
      </c>
      <c r="AN22" s="221">
        <f t="shared" si="29"/>
        <v>0</v>
      </c>
      <c r="AO22" s="302"/>
      <c r="AT22" s="8"/>
      <c r="AW22" s="7"/>
      <c r="AX22" s="7"/>
      <c r="AY22" s="7"/>
      <c r="AZ22" s="367"/>
      <c r="BA22" s="346"/>
      <c r="BB22" s="343"/>
      <c r="BC22" s="346"/>
      <c r="BD22" s="346"/>
      <c r="BE22" s="7">
        <f t="shared" si="10"/>
        <v>9</v>
      </c>
      <c r="BF22" s="435" t="s">
        <v>167</v>
      </c>
      <c r="BH22" s="186">
        <v>2305765.9693311718</v>
      </c>
      <c r="BI22" s="186">
        <v>2249122.2129821805</v>
      </c>
      <c r="BJ22" s="186">
        <v>-56643.756348991301</v>
      </c>
      <c r="BK22" s="186">
        <v>2249122.2129821805</v>
      </c>
      <c r="BL22" s="13">
        <v>0</v>
      </c>
      <c r="BM22" s="302"/>
      <c r="BU22" s="7"/>
      <c r="BV22" s="11"/>
      <c r="BW22" s="11"/>
      <c r="CK22" s="7">
        <f t="shared" si="12"/>
        <v>9</v>
      </c>
      <c r="CL22" s="337" t="s">
        <v>253</v>
      </c>
      <c r="CM22" s="348">
        <f>+FIT_E</f>
        <v>0.21</v>
      </c>
      <c r="CN22" s="221">
        <f>-CN20*$CM$22</f>
        <v>2478.8205966299997</v>
      </c>
      <c r="CO22" s="221">
        <f>-CO20*$CM$22</f>
        <v>-129517.5</v>
      </c>
      <c r="CP22" s="192">
        <f>CO22-CN22</f>
        <v>-131996.32059662999</v>
      </c>
      <c r="CQ22" s="221">
        <f>+CO22</f>
        <v>-129517.5</v>
      </c>
      <c r="CR22" s="221">
        <f>CQ22-CO22</f>
        <v>0</v>
      </c>
      <c r="DA22" s="302"/>
      <c r="DI22" s="7">
        <f t="shared" si="13"/>
        <v>9</v>
      </c>
      <c r="DJ22" s="220" t="s">
        <v>167</v>
      </c>
      <c r="DK22" s="320"/>
      <c r="DL22" s="186">
        <v>28115834.299467236</v>
      </c>
      <c r="DM22" s="186">
        <v>28143396.613986582</v>
      </c>
      <c r="DN22" s="489">
        <f t="shared" si="14"/>
        <v>27562.31451934576</v>
      </c>
      <c r="DO22" s="489">
        <v>29215057.33172036</v>
      </c>
      <c r="DP22" s="489">
        <f t="shared" si="15"/>
        <v>1071660.7177337781</v>
      </c>
      <c r="DQ22" s="7">
        <f t="shared" si="16"/>
        <v>9</v>
      </c>
      <c r="DR22" s="11"/>
      <c r="DS22" s="470"/>
      <c r="DT22" s="490"/>
      <c r="DU22" s="490"/>
      <c r="DV22" s="490"/>
      <c r="DW22" s="490"/>
      <c r="DX22" s="490"/>
      <c r="DY22" s="266">
        <v>9</v>
      </c>
      <c r="DZ22" s="308"/>
      <c r="EA22" s="1"/>
      <c r="EB22" s="1"/>
      <c r="EC22" s="1"/>
      <c r="EF22" s="340"/>
      <c r="EG22" s="266"/>
      <c r="EJ22" s="14"/>
      <c r="EK22" s="14"/>
      <c r="EL22" s="14"/>
      <c r="EM22" s="14"/>
      <c r="EN22" s="14"/>
      <c r="EO22" s="266">
        <f t="shared" si="18"/>
        <v>9</v>
      </c>
      <c r="EW22" s="7"/>
      <c r="FD22" s="8"/>
      <c r="FE22" s="266"/>
      <c r="FF22" s="345"/>
      <c r="FG22" s="345"/>
      <c r="FH22" s="345"/>
      <c r="FI22" s="14"/>
      <c r="FJ22" s="14"/>
      <c r="FK22" s="14"/>
      <c r="FL22" s="14"/>
      <c r="FM22" s="266">
        <f t="shared" si="20"/>
        <v>9</v>
      </c>
      <c r="FN22" s="331" t="s">
        <v>444</v>
      </c>
      <c r="FO22" s="331"/>
      <c r="FP22" s="346">
        <v>0</v>
      </c>
      <c r="FQ22" s="346">
        <v>0</v>
      </c>
      <c r="FR22" s="346">
        <v>0</v>
      </c>
      <c r="FS22" s="346">
        <v>-2136053.7759084729</v>
      </c>
      <c r="FT22" s="346">
        <f>+FS22-FR22</f>
        <v>-2136053.7759084729</v>
      </c>
      <c r="FU22" s="7">
        <v>8</v>
      </c>
      <c r="FV22" s="14" t="s">
        <v>545</v>
      </c>
      <c r="FW22" s="442"/>
      <c r="FX22" s="460">
        <v>-167598.16</v>
      </c>
      <c r="FY22" s="460">
        <v>0</v>
      </c>
      <c r="FZ22" s="460">
        <f t="shared" si="21"/>
        <v>167598.16</v>
      </c>
      <c r="GA22" s="460">
        <v>0</v>
      </c>
      <c r="GB22" s="460">
        <f t="shared" si="22"/>
        <v>0</v>
      </c>
      <c r="GC22" s="313">
        <f t="shared" si="23"/>
        <v>9</v>
      </c>
      <c r="GD22" s="331" t="s">
        <v>462</v>
      </c>
      <c r="GE22" s="331"/>
      <c r="GF22" s="346">
        <v>0</v>
      </c>
      <c r="GG22" s="346">
        <v>0</v>
      </c>
      <c r="GH22" s="346">
        <v>0</v>
      </c>
      <c r="GI22" s="346">
        <v>22821405.532854121</v>
      </c>
      <c r="GJ22" s="346">
        <f>+GI22-GH22</f>
        <v>22821405.532854121</v>
      </c>
      <c r="GS22" s="313">
        <f t="shared" si="25"/>
        <v>9</v>
      </c>
      <c r="GT22" s="6" t="s">
        <v>242</v>
      </c>
      <c r="GU22" s="369">
        <v>0.21</v>
      </c>
      <c r="GV22" s="191" t="s">
        <v>455</v>
      </c>
      <c r="GW22" s="191" t="s">
        <v>455</v>
      </c>
      <c r="GX22" s="191" t="s">
        <v>455</v>
      </c>
      <c r="GY22" s="191" t="s">
        <v>455</v>
      </c>
      <c r="GZ22" s="191" t="s">
        <v>455</v>
      </c>
      <c r="HA22" s="7">
        <v>9</v>
      </c>
      <c r="HB22" s="220" t="s">
        <v>438</v>
      </c>
      <c r="HC22" s="220"/>
      <c r="HD22" s="352"/>
      <c r="HE22" s="352"/>
      <c r="HF22" s="352"/>
      <c r="HG22" s="352">
        <f>SUM(HG21)</f>
        <v>737379.34131125675</v>
      </c>
      <c r="HH22" s="352">
        <f>SUM(HH21)</f>
        <v>737379.34131125675</v>
      </c>
      <c r="HI22" s="313"/>
      <c r="HQ22" s="313">
        <f t="shared" si="27"/>
        <v>9</v>
      </c>
      <c r="HS22" s="11"/>
      <c r="HY22" s="313">
        <f t="shared" si="28"/>
        <v>9</v>
      </c>
      <c r="HZ22" s="156"/>
      <c r="IA22" s="156"/>
      <c r="IB22" s="156"/>
      <c r="IC22" s="156"/>
      <c r="ID22" s="156"/>
      <c r="IE22" s="156"/>
      <c r="IF22" s="156"/>
      <c r="IG22" s="156"/>
      <c r="IH22" s="156"/>
    </row>
    <row r="23" spans="1:242" ht="16.5" customHeight="1" thickTop="1" thickBot="1" x14ac:dyDescent="0.35">
      <c r="A23" s="407">
        <f t="shared" si="5"/>
        <v>11</v>
      </c>
      <c r="B23" s="344" t="s">
        <v>366</v>
      </c>
      <c r="C23" s="1"/>
      <c r="D23" s="443"/>
      <c r="E23" s="443"/>
      <c r="F23" s="443">
        <f>SUM(F14:F22)</f>
        <v>41300096.629803978</v>
      </c>
      <c r="G23" s="443"/>
      <c r="H23" s="443">
        <f>SUM(H14:H22)</f>
        <v>-17794395.48</v>
      </c>
      <c r="I23" s="266">
        <f t="shared" si="0"/>
        <v>11</v>
      </c>
      <c r="J23" s="325" t="s">
        <v>97</v>
      </c>
      <c r="K23" s="473"/>
      <c r="L23" s="491">
        <f>SUM(L20:L22)</f>
        <v>39506015.025084525</v>
      </c>
      <c r="M23" s="491">
        <f>SUM(M20:M22)</f>
        <v>39826300.794669524</v>
      </c>
      <c r="N23" s="491">
        <f>SUM(N20:N22)</f>
        <v>320285.769585</v>
      </c>
      <c r="O23" s="491">
        <f>SUM(O20:O22)</f>
        <v>40383867.754779525</v>
      </c>
      <c r="P23" s="491">
        <f>SUM(P20:P22)</f>
        <v>557566.96010999824</v>
      </c>
      <c r="R23" s="1"/>
      <c r="S23" s="1"/>
      <c r="T23" s="1"/>
      <c r="U23" s="1"/>
      <c r="V23" s="1"/>
      <c r="W23" s="1"/>
      <c r="X23" s="1"/>
      <c r="Y23" s="14"/>
      <c r="Z23" s="14"/>
      <c r="AF23" s="14"/>
      <c r="AG23" s="407">
        <f t="shared" si="1"/>
        <v>10</v>
      </c>
      <c r="AH23" s="485" t="s">
        <v>208</v>
      </c>
      <c r="AJ23" s="221">
        <v>16403352.696571918</v>
      </c>
      <c r="AK23" s="221">
        <v>0</v>
      </c>
      <c r="AL23" s="221">
        <f t="shared" si="7"/>
        <v>-16403352.696571918</v>
      </c>
      <c r="AM23" s="221">
        <f t="shared" si="8"/>
        <v>0</v>
      </c>
      <c r="AN23" s="221">
        <f t="shared" si="29"/>
        <v>0</v>
      </c>
      <c r="AO23" s="302"/>
      <c r="AW23" s="7"/>
      <c r="AX23" s="7"/>
      <c r="AY23" s="7"/>
      <c r="AZ23" s="356"/>
      <c r="BA23" s="346"/>
      <c r="BB23" s="492"/>
      <c r="BC23" s="346"/>
      <c r="BD23" s="346"/>
      <c r="BE23" s="7">
        <f t="shared" si="10"/>
        <v>10</v>
      </c>
      <c r="BF23" s="308" t="s">
        <v>217</v>
      </c>
      <c r="BG23" s="308"/>
      <c r="BH23" s="12">
        <f>SUM(BH15:BH22)</f>
        <v>8580199.7623793483</v>
      </c>
      <c r="BI23" s="12">
        <f>SUM(BI15:BI22)</f>
        <v>8366056.3124479</v>
      </c>
      <c r="BJ23" s="12">
        <f>SUM(BJ15:BJ22)</f>
        <v>-214143.44993144952</v>
      </c>
      <c r="BK23" s="12">
        <f>SUM(BK15:BK22)</f>
        <v>8366056.3124479</v>
      </c>
      <c r="BL23" s="219">
        <f>SUM(BL15:BL22)</f>
        <v>0</v>
      </c>
      <c r="BM23" s="302"/>
      <c r="BU23" s="302"/>
      <c r="BV23" s="1"/>
      <c r="BW23" s="1"/>
      <c r="BX23" s="1"/>
      <c r="BY23" s="1"/>
      <c r="CK23" s="7">
        <f t="shared" si="12"/>
        <v>10</v>
      </c>
      <c r="CL23" s="337" t="s">
        <v>121</v>
      </c>
      <c r="CM23" s="337"/>
      <c r="CN23" s="388">
        <f>-CN20-CN22</f>
        <v>9325.0870063700004</v>
      </c>
      <c r="CO23" s="388">
        <f>-CO20-CO22</f>
        <v>-487232.5</v>
      </c>
      <c r="CP23" s="388">
        <f>-CP20-CP22</f>
        <v>-496557.58700637007</v>
      </c>
      <c r="CQ23" s="388">
        <f>-CQ20-CQ22</f>
        <v>-487232.5</v>
      </c>
      <c r="CR23" s="388">
        <f>-CR20-CR22</f>
        <v>0</v>
      </c>
      <c r="DA23" s="302"/>
      <c r="DI23" s="7">
        <f t="shared" si="13"/>
        <v>10</v>
      </c>
      <c r="DJ23" s="320" t="s">
        <v>183</v>
      </c>
      <c r="DL23" s="221">
        <f>SUM(DL15:DL22)</f>
        <v>104626135.31606707</v>
      </c>
      <c r="DM23" s="221">
        <f>SUM(DM15:DM22)</f>
        <v>104684964.10209413</v>
      </c>
      <c r="DN23" s="454">
        <f t="shared" si="14"/>
        <v>58828.786027058959</v>
      </c>
      <c r="DO23" s="221">
        <f>SUM(DO15:DO22)</f>
        <v>108304747.09407419</v>
      </c>
      <c r="DP23" s="8">
        <f t="shared" si="15"/>
        <v>3619782.9919800609</v>
      </c>
      <c r="DQ23" s="7">
        <f t="shared" si="16"/>
        <v>10</v>
      </c>
      <c r="DR23" s="493" t="s">
        <v>66</v>
      </c>
      <c r="DS23" s="494"/>
      <c r="DT23" s="468"/>
      <c r="DU23" s="468"/>
      <c r="DV23" s="468"/>
      <c r="DW23" s="468"/>
      <c r="DX23" s="468"/>
      <c r="DY23" s="266">
        <v>10</v>
      </c>
      <c r="DZ23" s="3" t="s">
        <v>128</v>
      </c>
      <c r="EA23" s="350">
        <f>FIT_E</f>
        <v>0.21</v>
      </c>
      <c r="EB23" s="495">
        <f>-EB21*$EA$23</f>
        <v>6707.6420310769599</v>
      </c>
      <c r="EC23" s="495">
        <f>-EC21*$EA$23</f>
        <v>367.70159412307663</v>
      </c>
      <c r="ED23" s="192">
        <f>-ED21*EA23</f>
        <v>-6339.9404369538834</v>
      </c>
      <c r="EE23" s="495">
        <f>-EE21*$EA$23</f>
        <v>-183381.47130263573</v>
      </c>
      <c r="EF23" s="469">
        <f>-EF21*EA23</f>
        <v>-183749.17289675883</v>
      </c>
      <c r="EG23" s="266"/>
      <c r="EJ23" s="14"/>
      <c r="EK23" s="14"/>
      <c r="EL23" s="14"/>
      <c r="EM23" s="14"/>
      <c r="EN23" s="14"/>
      <c r="EO23" s="266">
        <f t="shared" si="18"/>
        <v>10</v>
      </c>
      <c r="EP23" s="422" t="s">
        <v>97</v>
      </c>
      <c r="ER23" s="9">
        <f>ER21</f>
        <v>405261817.13353872</v>
      </c>
      <c r="ES23" s="9">
        <f>ES21</f>
        <v>426660492.4238199</v>
      </c>
      <c r="ET23" s="9">
        <f>ET21</f>
        <v>21398675.290281195</v>
      </c>
      <c r="EU23" s="9">
        <f>EU21</f>
        <v>426660492.4238199</v>
      </c>
      <c r="EV23" s="9">
        <f>EV21</f>
        <v>0</v>
      </c>
      <c r="EW23" s="7"/>
      <c r="FM23" s="266">
        <f t="shared" si="20"/>
        <v>10</v>
      </c>
      <c r="FN23" s="331" t="s">
        <v>445</v>
      </c>
      <c r="FO23" s="331"/>
      <c r="FP23" s="346">
        <v>0</v>
      </c>
      <c r="FQ23" s="346">
        <v>0</v>
      </c>
      <c r="FR23" s="346">
        <v>0</v>
      </c>
      <c r="FS23" s="346">
        <v>-2242856.4647038952</v>
      </c>
      <c r="FT23" s="346">
        <f>+FS23-FR23</f>
        <v>-2242856.4647038952</v>
      </c>
      <c r="FU23" s="7">
        <v>9</v>
      </c>
      <c r="FV23" s="6" t="s">
        <v>546</v>
      </c>
      <c r="FW23" s="442"/>
      <c r="FX23" s="460"/>
      <c r="FY23" s="460"/>
      <c r="FZ23" s="460"/>
      <c r="GA23" s="460"/>
      <c r="GB23" s="460"/>
      <c r="GC23" s="313">
        <f t="shared" si="23"/>
        <v>10</v>
      </c>
      <c r="GD23" s="331" t="s">
        <v>463</v>
      </c>
      <c r="GE23" s="331"/>
      <c r="GF23" s="346">
        <v>0</v>
      </c>
      <c r="GG23" s="346">
        <v>0</v>
      </c>
      <c r="GH23" s="346">
        <v>0</v>
      </c>
      <c r="GI23" s="346">
        <v>-3803567.5888090204</v>
      </c>
      <c r="GJ23" s="346">
        <f>+GI23-GH23</f>
        <v>-3803567.5888090204</v>
      </c>
      <c r="GS23" s="313">
        <f t="shared" si="25"/>
        <v>10</v>
      </c>
      <c r="GT23" s="6" t="s">
        <v>95</v>
      </c>
      <c r="GU23" s="316"/>
      <c r="GV23" s="368">
        <f>-GV20</f>
        <v>0</v>
      </c>
      <c r="GW23" s="368">
        <f>-GW20</f>
        <v>0</v>
      </c>
      <c r="GX23" s="368">
        <f>-GX20</f>
        <v>0</v>
      </c>
      <c r="GY23" s="368">
        <f>-GY20</f>
        <v>9006372.2399999984</v>
      </c>
      <c r="GZ23" s="368">
        <f>-GZ20</f>
        <v>9006372.2399999984</v>
      </c>
      <c r="HA23" s="7">
        <v>10</v>
      </c>
      <c r="HB23" s="361"/>
      <c r="HC23" s="361"/>
      <c r="HD23" s="14"/>
      <c r="HE23" s="14"/>
      <c r="HF23" s="14"/>
      <c r="HG23" s="14"/>
      <c r="HH23" s="496"/>
      <c r="HI23" s="313"/>
      <c r="HQ23" s="313">
        <f t="shared" si="27"/>
        <v>10</v>
      </c>
      <c r="HR23" s="6" t="s">
        <v>436</v>
      </c>
      <c r="HS23" s="11"/>
      <c r="HY23" s="313">
        <f t="shared" si="28"/>
        <v>10</v>
      </c>
      <c r="HZ23" s="156"/>
      <c r="IA23" s="156"/>
      <c r="IB23" s="156"/>
      <c r="IC23" s="156"/>
      <c r="ID23" s="156"/>
      <c r="IE23" s="156"/>
      <c r="IF23" s="156"/>
      <c r="IG23" s="156"/>
      <c r="IH23" s="156"/>
    </row>
    <row r="24" spans="1:242" ht="15" thickTop="1" x14ac:dyDescent="0.3">
      <c r="A24" s="407">
        <f t="shared" si="5"/>
        <v>12</v>
      </c>
      <c r="B24" s="403" t="s">
        <v>4</v>
      </c>
      <c r="D24" s="474"/>
      <c r="E24" s="474"/>
      <c r="F24" s="474"/>
      <c r="G24" s="474"/>
      <c r="H24" s="1"/>
      <c r="I24" s="266">
        <f t="shared" si="0"/>
        <v>12</v>
      </c>
      <c r="J24" s="325"/>
      <c r="K24" s="473"/>
      <c r="L24" s="491"/>
      <c r="M24" s="491"/>
      <c r="N24" s="491"/>
      <c r="O24" s="491"/>
      <c r="P24" s="491"/>
      <c r="Y24" s="14"/>
      <c r="Z24" s="14"/>
      <c r="AF24" s="14"/>
      <c r="AG24" s="407">
        <f t="shared" si="1"/>
        <v>11</v>
      </c>
      <c r="AH24" s="485" t="s">
        <v>209</v>
      </c>
      <c r="AJ24" s="221">
        <v>-15601474.800000001</v>
      </c>
      <c r="AK24" s="221">
        <v>0</v>
      </c>
      <c r="AL24" s="221">
        <f t="shared" si="7"/>
        <v>15601474.800000001</v>
      </c>
      <c r="AM24" s="221">
        <f t="shared" si="8"/>
        <v>0</v>
      </c>
      <c r="AN24" s="221">
        <f t="shared" si="29"/>
        <v>0</v>
      </c>
      <c r="AO24" s="302"/>
      <c r="AW24" s="7"/>
      <c r="AX24" s="7"/>
      <c r="AY24" s="7"/>
      <c r="AZ24" s="346"/>
      <c r="BA24" s="346"/>
      <c r="BB24" s="492"/>
      <c r="BC24" s="346"/>
      <c r="BD24" s="346"/>
      <c r="BE24" s="7">
        <f t="shared" si="10"/>
        <v>11</v>
      </c>
      <c r="BF24" s="11"/>
      <c r="BG24" s="11"/>
      <c r="BH24" s="12"/>
      <c r="BI24" s="12"/>
      <c r="BJ24" s="12"/>
      <c r="BK24" s="12"/>
      <c r="BL24" s="12"/>
      <c r="BM24" s="302"/>
      <c r="BU24" s="302"/>
      <c r="BV24" s="316"/>
      <c r="BW24" s="316"/>
      <c r="BX24" s="316"/>
      <c r="BY24" s="316"/>
      <c r="DA24" s="302"/>
      <c r="DI24" s="7">
        <f t="shared" si="13"/>
        <v>11</v>
      </c>
      <c r="DK24" s="320"/>
      <c r="DL24" s="221"/>
      <c r="DM24" s="221"/>
      <c r="DN24" s="454"/>
      <c r="DO24" s="8"/>
      <c r="DP24" s="8"/>
      <c r="DQ24" s="7">
        <f t="shared" si="16"/>
        <v>11</v>
      </c>
      <c r="DR24" s="497" t="s">
        <v>669</v>
      </c>
      <c r="DS24" s="7"/>
      <c r="DT24" s="336">
        <f>+DT21+DT18+DT15</f>
        <v>13873355.148600001</v>
      </c>
      <c r="DU24" s="336">
        <f>+DU21+DU18+DU15</f>
        <v>13906664.896484401</v>
      </c>
      <c r="DV24" s="336">
        <f>+DV21+DV18+DV15</f>
        <v>33309.747884399723</v>
      </c>
      <c r="DW24" s="336">
        <f>+DW21+DW18+DW15</f>
        <v>14433726.319512019</v>
      </c>
      <c r="DX24" s="336">
        <f>+DW24-DU24</f>
        <v>527061.42302761786</v>
      </c>
      <c r="DY24" s="266">
        <v>11</v>
      </c>
      <c r="DZ24" s="3"/>
      <c r="EA24" s="1"/>
      <c r="EB24" s="10"/>
      <c r="EC24" s="10"/>
      <c r="ED24" s="10"/>
      <c r="EE24" s="10"/>
      <c r="EF24" s="10"/>
      <c r="EG24" s="266"/>
      <c r="EJ24" s="14"/>
      <c r="EK24" s="14"/>
      <c r="EL24" s="14"/>
      <c r="EM24" s="14"/>
      <c r="EN24" s="14"/>
      <c r="EO24" s="266">
        <f t="shared" si="18"/>
        <v>11</v>
      </c>
      <c r="ER24" s="9"/>
      <c r="ES24" s="9"/>
      <c r="ET24" s="9"/>
      <c r="EU24" s="9"/>
      <c r="EV24" s="9"/>
      <c r="FM24" s="266">
        <f t="shared" si="20"/>
        <v>11</v>
      </c>
      <c r="FN24" s="331" t="s">
        <v>502</v>
      </c>
      <c r="FO24" s="331"/>
      <c r="FP24" s="334">
        <f>SUM(FP21:FP23)</f>
        <v>0</v>
      </c>
      <c r="FQ24" s="334">
        <f>SUM(FQ21:FQ23)</f>
        <v>0</v>
      </c>
      <c r="FR24" s="334">
        <f>SUM(FR21:FR23)</f>
        <v>0</v>
      </c>
      <c r="FS24" s="334">
        <f>SUM(FS21:FS23)</f>
        <v>8437412.4148384705</v>
      </c>
      <c r="FT24" s="334">
        <f>SUM(FT21:FT23)</f>
        <v>8437412.4148384705</v>
      </c>
      <c r="FU24" s="7">
        <v>10</v>
      </c>
      <c r="FV24" s="193" t="s">
        <v>547</v>
      </c>
      <c r="FW24" s="442"/>
      <c r="FX24" s="460">
        <v>65485.843500000003</v>
      </c>
      <c r="FY24" s="460">
        <v>65485.843500000003</v>
      </c>
      <c r="FZ24" s="460">
        <f>FY24-FX24</f>
        <v>0</v>
      </c>
      <c r="GA24" s="460">
        <v>0</v>
      </c>
      <c r="GB24" s="460">
        <f>GA24-FY24</f>
        <v>-65485.843500000003</v>
      </c>
      <c r="GC24" s="313">
        <f t="shared" si="23"/>
        <v>11</v>
      </c>
      <c r="GD24" s="331" t="s">
        <v>464</v>
      </c>
      <c r="GE24" s="331"/>
      <c r="GF24" s="346">
        <v>0</v>
      </c>
      <c r="GG24" s="346">
        <v>0</v>
      </c>
      <c r="GH24" s="346">
        <v>0</v>
      </c>
      <c r="GI24" s="346">
        <v>-3993745.9682494728</v>
      </c>
      <c r="GJ24" s="346">
        <f>+GI24-GH24</f>
        <v>-3993745.9682494728</v>
      </c>
      <c r="GS24" s="313"/>
      <c r="HA24" s="7">
        <v>11</v>
      </c>
      <c r="HB24" s="319" t="s">
        <v>103</v>
      </c>
      <c r="HC24" s="319"/>
      <c r="HD24" s="8">
        <f>HD22</f>
        <v>0</v>
      </c>
      <c r="HE24" s="8">
        <f>HE22</f>
        <v>0</v>
      </c>
      <c r="HF24" s="8">
        <f>HF22</f>
        <v>0</v>
      </c>
      <c r="HG24" s="8">
        <f>HG22</f>
        <v>737379.34131125675</v>
      </c>
      <c r="HH24" s="8">
        <f>HH22</f>
        <v>737379.34131125675</v>
      </c>
      <c r="HI24" s="313"/>
      <c r="HQ24" s="313">
        <f t="shared" si="27"/>
        <v>11</v>
      </c>
      <c r="HR24" s="6" t="s">
        <v>578</v>
      </c>
      <c r="HS24" s="11"/>
      <c r="HT24" s="8">
        <v>0</v>
      </c>
      <c r="HU24" s="8">
        <v>0</v>
      </c>
      <c r="HV24" s="8">
        <v>0</v>
      </c>
      <c r="HW24" s="8">
        <v>718226.57403660007</v>
      </c>
      <c r="HX24" s="8">
        <f>HW24-HU24</f>
        <v>718226.57403660007</v>
      </c>
      <c r="HY24" s="313">
        <f t="shared" si="28"/>
        <v>11</v>
      </c>
      <c r="HZ24" s="156"/>
      <c r="IA24" s="156"/>
      <c r="IB24" s="156"/>
      <c r="IC24" s="156"/>
      <c r="ID24" s="156"/>
      <c r="IE24" s="156"/>
      <c r="IF24" s="156"/>
      <c r="IG24" s="156"/>
      <c r="IH24" s="156"/>
    </row>
    <row r="25" spans="1:242" ht="15" thickBot="1" x14ac:dyDescent="0.35">
      <c r="A25" s="407">
        <f t="shared" si="5"/>
        <v>13</v>
      </c>
      <c r="B25" s="498" t="s">
        <v>359</v>
      </c>
      <c r="D25" s="665" t="s">
        <v>499</v>
      </c>
      <c r="E25" s="665"/>
      <c r="F25" s="443">
        <v>-10964420.23</v>
      </c>
      <c r="G25" s="665" t="s">
        <v>499</v>
      </c>
      <c r="H25" s="443">
        <v>0</v>
      </c>
      <c r="I25" s="266">
        <f t="shared" si="0"/>
        <v>13</v>
      </c>
      <c r="J25" s="316" t="s">
        <v>372</v>
      </c>
      <c r="K25" s="499"/>
      <c r="L25" s="443">
        <f>L18-L23</f>
        <v>768635849.04537725</v>
      </c>
      <c r="M25" s="443">
        <f>M18-M23</f>
        <v>774867384.27579224</v>
      </c>
      <c r="N25" s="443">
        <f>N18-N23</f>
        <v>6231535.2304149996</v>
      </c>
      <c r="O25" s="443">
        <f>O18-O23</f>
        <v>785715503.31568217</v>
      </c>
      <c r="P25" s="443">
        <f>P18-P23</f>
        <v>10848119.039890002</v>
      </c>
      <c r="AG25" s="407">
        <f t="shared" si="1"/>
        <v>12</v>
      </c>
      <c r="AH25" s="308" t="s">
        <v>135</v>
      </c>
      <c r="AJ25" s="221">
        <v>4470609.87</v>
      </c>
      <c r="AK25" s="221">
        <v>0</v>
      </c>
      <c r="AL25" s="221">
        <f t="shared" si="7"/>
        <v>-4470609.87</v>
      </c>
      <c r="AM25" s="221">
        <f t="shared" si="8"/>
        <v>0</v>
      </c>
      <c r="AN25" s="221">
        <f t="shared" si="29"/>
        <v>0</v>
      </c>
      <c r="AO25" s="302"/>
      <c r="AW25" s="7"/>
      <c r="AX25" s="7"/>
      <c r="AY25" s="7"/>
      <c r="AZ25" s="356"/>
      <c r="BA25" s="346"/>
      <c r="BB25" s="346"/>
      <c r="BC25" s="346"/>
      <c r="BD25" s="346"/>
      <c r="BE25" s="7">
        <f t="shared" si="10"/>
        <v>12</v>
      </c>
      <c r="BF25" s="320" t="s">
        <v>218</v>
      </c>
      <c r="BG25" s="320"/>
      <c r="BH25" s="186">
        <v>759347.64181821421</v>
      </c>
      <c r="BI25" s="186">
        <v>740395.94742652448</v>
      </c>
      <c r="BJ25" s="186">
        <v>-18951.694391689729</v>
      </c>
      <c r="BK25" s="186">
        <v>740395.94742652448</v>
      </c>
      <c r="BL25" s="13">
        <v>0</v>
      </c>
      <c r="BM25" s="302"/>
      <c r="BU25" s="302"/>
      <c r="BV25" s="316"/>
      <c r="BW25" s="316"/>
      <c r="BX25" s="316"/>
      <c r="BY25" s="316"/>
      <c r="CK25" s="7"/>
      <c r="DA25" s="302"/>
      <c r="DI25" s="7">
        <f t="shared" si="13"/>
        <v>12</v>
      </c>
      <c r="DJ25" s="320" t="s">
        <v>119</v>
      </c>
      <c r="DK25" s="320"/>
      <c r="DL25" s="186">
        <v>7658038.0723143257</v>
      </c>
      <c r="DM25" s="186">
        <f>+DL25+DN25</f>
        <v>7677450.3307888452</v>
      </c>
      <c r="DN25" s="489">
        <v>19412.258474519269</v>
      </c>
      <c r="DO25" s="489">
        <f>+DM25+DP25</f>
        <v>7859638.4253364205</v>
      </c>
      <c r="DP25" s="489">
        <v>182188.09454757578</v>
      </c>
      <c r="DQ25" s="7">
        <f t="shared" si="16"/>
        <v>12</v>
      </c>
      <c r="DR25" s="500"/>
      <c r="DS25" s="348"/>
      <c r="DT25" s="10"/>
      <c r="DU25" s="10"/>
      <c r="DV25" s="10"/>
      <c r="DW25" s="10"/>
      <c r="DX25" s="10"/>
      <c r="DY25" s="266">
        <v>12</v>
      </c>
      <c r="DZ25" s="316" t="s">
        <v>121</v>
      </c>
      <c r="EA25" s="316"/>
      <c r="EB25" s="387">
        <f>-EB21-EB23</f>
        <v>25233.510497860945</v>
      </c>
      <c r="EC25" s="387">
        <f>-EC21-EC23</f>
        <v>1383.2583778915741</v>
      </c>
      <c r="ED25" s="387">
        <f>-ED21-ED23</f>
        <v>-23850.252119969373</v>
      </c>
      <c r="EE25" s="387">
        <f>-EE21-EE23</f>
        <v>-689863.63013848686</v>
      </c>
      <c r="EF25" s="387">
        <f>-EF21-EF23</f>
        <v>-691246.88851637836</v>
      </c>
      <c r="EG25" s="266"/>
      <c r="EJ25" s="14"/>
      <c r="EK25" s="14"/>
      <c r="EL25" s="14"/>
      <c r="EM25" s="14"/>
      <c r="EN25" s="14"/>
      <c r="EO25" s="266">
        <f t="shared" si="18"/>
        <v>12</v>
      </c>
      <c r="EP25" s="422" t="s">
        <v>116</v>
      </c>
      <c r="EQ25" s="350">
        <f>FIT_E</f>
        <v>0.21</v>
      </c>
      <c r="ER25" s="9">
        <f>-ER23*$EQ$25</f>
        <v>-85104981.598043129</v>
      </c>
      <c r="ES25" s="9">
        <f>-ES23*$EQ$25</f>
        <v>-89598703.40900217</v>
      </c>
      <c r="ET25" s="9">
        <f>-ET23*$EQ$25</f>
        <v>-4493721.8109590504</v>
      </c>
      <c r="EU25" s="9">
        <f>-EU23*$EQ$25</f>
        <v>-89598703.40900217</v>
      </c>
      <c r="EV25" s="9">
        <f>EV23</f>
        <v>0</v>
      </c>
      <c r="FM25" s="266">
        <f t="shared" si="20"/>
        <v>12</v>
      </c>
      <c r="FN25" s="331" t="s">
        <v>334</v>
      </c>
      <c r="FO25" s="331"/>
      <c r="FP25" s="334"/>
      <c r="FQ25" s="334"/>
      <c r="FR25" s="334"/>
      <c r="FS25" s="334"/>
      <c r="FT25" s="334"/>
      <c r="FU25" s="7">
        <v>11</v>
      </c>
      <c r="FV25" s="193" t="s">
        <v>548</v>
      </c>
      <c r="FW25" s="442"/>
      <c r="FX25" s="460">
        <v>101476.232</v>
      </c>
      <c r="FY25" s="460">
        <v>101476.232</v>
      </c>
      <c r="FZ25" s="460">
        <f>FY25-FX25</f>
        <v>0</v>
      </c>
      <c r="GA25" s="460">
        <v>0</v>
      </c>
      <c r="GB25" s="460">
        <f>GA25-FY25</f>
        <v>-101476.232</v>
      </c>
      <c r="GC25" s="313">
        <f t="shared" si="23"/>
        <v>12</v>
      </c>
      <c r="GD25" s="220" t="s">
        <v>465</v>
      </c>
      <c r="GE25" s="331"/>
      <c r="GF25" s="334">
        <f>SUM(GF22:GF24)</f>
        <v>0</v>
      </c>
      <c r="GG25" s="334">
        <f>SUM(GG22:GG24)</f>
        <v>0</v>
      </c>
      <c r="GH25" s="334">
        <f>SUM(GH22:GH24)</f>
        <v>0</v>
      </c>
      <c r="GI25" s="334">
        <f>SUM(GI22:GI24)</f>
        <v>15024091.975795627</v>
      </c>
      <c r="GJ25" s="334">
        <f>SUM(GJ22:GJ24)</f>
        <v>15024091.975795627</v>
      </c>
      <c r="GS25" s="313"/>
      <c r="HA25" s="7">
        <v>12</v>
      </c>
      <c r="HB25" s="319"/>
      <c r="HC25" s="319"/>
      <c r="HD25" s="14"/>
      <c r="HE25" s="14"/>
      <c r="HF25" s="14"/>
      <c r="HG25" s="14"/>
      <c r="HH25" s="346"/>
      <c r="HI25" s="313"/>
      <c r="HQ25" s="313">
        <f t="shared" si="27"/>
        <v>12</v>
      </c>
      <c r="HR25" s="6" t="s">
        <v>438</v>
      </c>
      <c r="HS25" s="11"/>
      <c r="HT25" s="188">
        <f>SUM(HT24:HT24)</f>
        <v>0</v>
      </c>
      <c r="HU25" s="188">
        <f>SUM(HU24:HU24)</f>
        <v>0</v>
      </c>
      <c r="HV25" s="188">
        <f>SUM(HV24:HV24)</f>
        <v>0</v>
      </c>
      <c r="HW25" s="188">
        <f>SUM(HW24:HW24)</f>
        <v>718226.57403660007</v>
      </c>
      <c r="HX25" s="188">
        <f>SUM(HX24:HX24)</f>
        <v>718226.57403660007</v>
      </c>
      <c r="HY25" s="313">
        <f t="shared" si="28"/>
        <v>12</v>
      </c>
      <c r="HZ25" s="156"/>
      <c r="IA25" s="156"/>
      <c r="IB25" s="156"/>
      <c r="IC25" s="156"/>
      <c r="ID25" s="156"/>
      <c r="IE25" s="156"/>
      <c r="IF25" s="156"/>
      <c r="IG25" s="156"/>
      <c r="IH25" s="156"/>
    </row>
    <row r="26" spans="1:242" ht="15.6" thickTop="1" thickBot="1" x14ac:dyDescent="0.35">
      <c r="A26" s="407">
        <f t="shared" si="5"/>
        <v>14</v>
      </c>
      <c r="B26" s="498" t="s">
        <v>360</v>
      </c>
      <c r="C26" s="501"/>
      <c r="D26" s="665"/>
      <c r="E26" s="665"/>
      <c r="F26" s="443">
        <v>0</v>
      </c>
      <c r="G26" s="665"/>
      <c r="H26" s="443">
        <v>-18227053.410000004</v>
      </c>
      <c r="I26" s="266">
        <f t="shared" si="0"/>
        <v>14</v>
      </c>
      <c r="J26" s="316"/>
      <c r="K26" s="465"/>
      <c r="L26" s="340"/>
      <c r="M26" s="340"/>
      <c r="N26" s="340"/>
      <c r="O26" s="340"/>
      <c r="P26" s="340"/>
      <c r="AF26" s="221"/>
      <c r="AG26" s="407">
        <f t="shared" si="1"/>
        <v>13</v>
      </c>
      <c r="AH26" s="308" t="s">
        <v>136</v>
      </c>
      <c r="AJ26" s="221">
        <v>-684145.61</v>
      </c>
      <c r="AK26" s="221">
        <v>0</v>
      </c>
      <c r="AL26" s="221">
        <f t="shared" si="7"/>
        <v>684145.61</v>
      </c>
      <c r="AM26" s="221">
        <f t="shared" si="8"/>
        <v>0</v>
      </c>
      <c r="AN26" s="221">
        <f t="shared" si="29"/>
        <v>0</v>
      </c>
      <c r="AO26" s="302"/>
      <c r="AW26" s="7"/>
      <c r="AX26" s="7"/>
      <c r="AY26" s="7"/>
      <c r="AZ26" s="367"/>
      <c r="BA26" s="346"/>
      <c r="BB26" s="346"/>
      <c r="BC26" s="346"/>
      <c r="BD26" s="346"/>
      <c r="BE26" s="7">
        <f t="shared" si="10"/>
        <v>13</v>
      </c>
      <c r="BF26" s="320" t="s">
        <v>219</v>
      </c>
      <c r="BG26" s="320"/>
      <c r="BH26" s="8">
        <f>SUM(BH23:BH25)</f>
        <v>9339547.4041975625</v>
      </c>
      <c r="BI26" s="8">
        <f>SUM(BI23:BI25)</f>
        <v>9106452.259874424</v>
      </c>
      <c r="BJ26" s="8">
        <f>SUM(BJ23:BJ25)</f>
        <v>-233095.14432313925</v>
      </c>
      <c r="BK26" s="8">
        <f>SUM(BK23:BK25)</f>
        <v>9106452.259874424</v>
      </c>
      <c r="BL26" s="219">
        <f>SUM(BL23:BL25)</f>
        <v>0</v>
      </c>
      <c r="BM26" s="302"/>
      <c r="CS26" s="7"/>
      <c r="DA26" s="302"/>
      <c r="DI26" s="7">
        <f t="shared" si="13"/>
        <v>13</v>
      </c>
      <c r="DJ26" s="320" t="s">
        <v>184</v>
      </c>
      <c r="DK26" s="320"/>
      <c r="DL26" s="221">
        <f>+DL25+DL23</f>
        <v>112284173.38838139</v>
      </c>
      <c r="DM26" s="221">
        <f>+DM25+DM23</f>
        <v>112362414.43288298</v>
      </c>
      <c r="DN26" s="454">
        <f>+DN25+DN23</f>
        <v>78241.044501578232</v>
      </c>
      <c r="DO26" s="221">
        <f>+DM26+DP26</f>
        <v>116164385.51941061</v>
      </c>
      <c r="DP26" s="454">
        <f>+DP25+DP23</f>
        <v>3801971.0865276367</v>
      </c>
      <c r="DQ26" s="7">
        <f t="shared" si="16"/>
        <v>13</v>
      </c>
      <c r="DR26" s="497" t="s">
        <v>397</v>
      </c>
      <c r="DS26" s="194">
        <v>0.49997132880489842</v>
      </c>
      <c r="DT26" s="221">
        <f>+DT24*$DS$26</f>
        <v>6936279.8086278215</v>
      </c>
      <c r="DU26" s="221">
        <f>+DU24*$DS$26</f>
        <v>6952933.7275397414</v>
      </c>
      <c r="DV26" s="221">
        <f>+DV24*$DS$26</f>
        <v>16653.918911919485</v>
      </c>
      <c r="DW26" s="221">
        <f>+DW24*$DS$26</f>
        <v>7216449.3275726596</v>
      </c>
      <c r="DX26" s="8">
        <f>+DX24*$DS$26</f>
        <v>263515.6000329188</v>
      </c>
      <c r="EG26" s="266"/>
      <c r="EJ26" s="14"/>
      <c r="EK26" s="14"/>
      <c r="EL26" s="14"/>
      <c r="EM26" s="14"/>
      <c r="EN26" s="14"/>
      <c r="EO26" s="266">
        <f t="shared" si="18"/>
        <v>13</v>
      </c>
      <c r="ER26" s="10"/>
      <c r="ES26" s="10"/>
      <c r="ET26" s="10"/>
      <c r="EU26" s="10"/>
      <c r="EV26" s="10"/>
      <c r="FM26" s="266">
        <f t="shared" si="20"/>
        <v>13</v>
      </c>
      <c r="FN26" s="320" t="s">
        <v>446</v>
      </c>
      <c r="FO26" s="320"/>
      <c r="FP26" s="502">
        <f>FP19+FP24</f>
        <v>0</v>
      </c>
      <c r="FQ26" s="502">
        <f>FQ19+FQ24</f>
        <v>0</v>
      </c>
      <c r="FR26" s="502">
        <f>FR19+FR24</f>
        <v>0</v>
      </c>
      <c r="FS26" s="502">
        <f>FS19+FS24</f>
        <v>64963194.076797329</v>
      </c>
      <c r="FT26" s="502">
        <f>FT19+FT24</f>
        <v>64963194.076797329</v>
      </c>
      <c r="FU26" s="7">
        <v>12</v>
      </c>
      <c r="FV26" s="193" t="s">
        <v>549</v>
      </c>
      <c r="FW26" s="442"/>
      <c r="FX26" s="460">
        <v>17787.344273049999</v>
      </c>
      <c r="FY26" s="460">
        <v>17787.344273049999</v>
      </c>
      <c r="FZ26" s="460">
        <f>FY26-FX26</f>
        <v>0</v>
      </c>
      <c r="GA26" s="460">
        <v>0</v>
      </c>
      <c r="GB26" s="460">
        <f>GA26-FY26</f>
        <v>-17787.344273049999</v>
      </c>
      <c r="GC26" s="313">
        <f t="shared" si="23"/>
        <v>13</v>
      </c>
      <c r="GD26" s="331"/>
      <c r="GE26" s="331"/>
      <c r="GF26" s="334"/>
      <c r="GG26" s="334"/>
      <c r="GH26" s="334"/>
      <c r="GI26" s="334"/>
      <c r="GJ26" s="334"/>
      <c r="GS26" s="313"/>
      <c r="HA26" s="7">
        <v>13</v>
      </c>
      <c r="HB26" s="319" t="s">
        <v>128</v>
      </c>
      <c r="HC26" s="370">
        <f>FIT_E</f>
        <v>0.21</v>
      </c>
      <c r="HD26" s="371">
        <f>-HD24*$HC$26</f>
        <v>0</v>
      </c>
      <c r="HE26" s="371">
        <f>-HE24*$HC$26</f>
        <v>0</v>
      </c>
      <c r="HF26" s="371">
        <f>-HF24*$HC$26</f>
        <v>0</v>
      </c>
      <c r="HG26" s="371">
        <f>-HG24*$HC$26</f>
        <v>-154849.66167536392</v>
      </c>
      <c r="HH26" s="371">
        <f>-HH24*$HC$26</f>
        <v>-154849.66167536392</v>
      </c>
      <c r="HI26" s="313"/>
      <c r="HQ26" s="313">
        <f t="shared" si="27"/>
        <v>13</v>
      </c>
      <c r="HS26" s="195"/>
      <c r="HY26" s="313">
        <f t="shared" si="28"/>
        <v>13</v>
      </c>
      <c r="HZ26" s="156"/>
      <c r="IA26" s="156"/>
      <c r="IB26" s="156"/>
      <c r="IC26" s="156"/>
      <c r="ID26" s="156"/>
      <c r="IE26" s="156"/>
      <c r="IF26" s="156"/>
      <c r="IG26" s="156"/>
      <c r="IH26" s="156"/>
    </row>
    <row r="27" spans="1:242" ht="16.8" thickTop="1" thickBot="1" x14ac:dyDescent="0.35">
      <c r="A27" s="407">
        <f t="shared" si="5"/>
        <v>15</v>
      </c>
      <c r="B27" s="344" t="s">
        <v>361</v>
      </c>
      <c r="C27" s="501"/>
      <c r="D27" s="665"/>
      <c r="E27" s="665"/>
      <c r="F27" s="443">
        <v>24054569</v>
      </c>
      <c r="G27" s="665"/>
      <c r="H27" s="443">
        <v>0</v>
      </c>
      <c r="I27" s="266">
        <f t="shared" si="0"/>
        <v>15</v>
      </c>
      <c r="J27" s="316" t="s">
        <v>128</v>
      </c>
      <c r="K27" s="473">
        <f>FIT_E</f>
        <v>0.21</v>
      </c>
      <c r="L27" s="9">
        <f>L25*K$27</f>
        <v>161413528.29952922</v>
      </c>
      <c r="M27" s="9">
        <f>M$25*K$27</f>
        <v>162722150.69791636</v>
      </c>
      <c r="N27" s="9">
        <f>N25*K$27</f>
        <v>1308622.3983871499</v>
      </c>
      <c r="O27" s="9">
        <f>O$25*K$27</f>
        <v>165000255.69629326</v>
      </c>
      <c r="P27" s="9">
        <f>O27-M27</f>
        <v>2278104.9983769059</v>
      </c>
      <c r="AF27" s="221"/>
      <c r="AG27" s="407">
        <f t="shared" si="1"/>
        <v>14</v>
      </c>
      <c r="AH27" s="503" t="s">
        <v>500</v>
      </c>
      <c r="AJ27" s="221">
        <v>-1234.01</v>
      </c>
      <c r="AK27" s="221">
        <v>0</v>
      </c>
      <c r="AL27" s="221">
        <f t="shared" si="7"/>
        <v>1234.01</v>
      </c>
      <c r="AM27" s="221">
        <f t="shared" si="8"/>
        <v>0</v>
      </c>
      <c r="AN27" s="221">
        <f t="shared" si="29"/>
        <v>0</v>
      </c>
      <c r="AW27" s="7"/>
      <c r="AX27" s="7"/>
      <c r="AY27" s="7"/>
      <c r="AZ27" s="308"/>
      <c r="BA27" s="370"/>
      <c r="BB27" s="374"/>
      <c r="BC27" s="504"/>
      <c r="BD27" s="504"/>
      <c r="BE27" s="7">
        <f t="shared" si="10"/>
        <v>14</v>
      </c>
      <c r="BH27" s="221"/>
      <c r="BI27" s="221"/>
      <c r="BJ27" s="221"/>
      <c r="BK27" s="221"/>
      <c r="BL27" s="221"/>
      <c r="BM27" s="302"/>
      <c r="DA27" s="302"/>
      <c r="DI27" s="7">
        <f t="shared" si="13"/>
        <v>14</v>
      </c>
      <c r="DJ27" s="320"/>
      <c r="DQ27" s="7">
        <f t="shared" si="16"/>
        <v>14</v>
      </c>
      <c r="DR27" s="500"/>
      <c r="DS27" s="348"/>
      <c r="DT27" s="10"/>
      <c r="DU27" s="10"/>
      <c r="DV27" s="10"/>
      <c r="DW27" s="10"/>
      <c r="DX27" s="10"/>
      <c r="EG27" s="266"/>
      <c r="EJ27" s="14"/>
      <c r="EK27" s="14"/>
      <c r="EL27" s="14"/>
      <c r="EM27" s="14"/>
      <c r="EN27" s="14"/>
      <c r="EO27" s="266">
        <f t="shared" si="18"/>
        <v>14</v>
      </c>
      <c r="EP27" s="422" t="s">
        <v>95</v>
      </c>
      <c r="ER27" s="387">
        <f>-ER23-ER25</f>
        <v>-320156835.53549558</v>
      </c>
      <c r="ES27" s="387">
        <f>-ES23-ES25</f>
        <v>-337061789.01481771</v>
      </c>
      <c r="ET27" s="387">
        <f>-ET23-ET25</f>
        <v>-16904953.479322143</v>
      </c>
      <c r="EU27" s="387">
        <f>-EU23-EU25</f>
        <v>-337061789.01481771</v>
      </c>
      <c r="EV27" s="387">
        <f>EV25</f>
        <v>0</v>
      </c>
      <c r="FM27" s="266">
        <f t="shared" si="20"/>
        <v>14</v>
      </c>
      <c r="FN27" s="505" t="s">
        <v>334</v>
      </c>
      <c r="FO27" s="505"/>
      <c r="FP27" s="346"/>
      <c r="FQ27" s="346"/>
      <c r="FR27" s="346"/>
      <c r="FS27" s="346"/>
      <c r="FT27" s="346"/>
      <c r="FU27" s="7">
        <v>13</v>
      </c>
      <c r="FV27" s="193" t="s">
        <v>550</v>
      </c>
      <c r="FW27" s="442"/>
      <c r="FX27" s="460">
        <v>38838.009768800002</v>
      </c>
      <c r="FY27" s="460">
        <v>38838.009768800002</v>
      </c>
      <c r="FZ27" s="460">
        <f>FY27-FX27</f>
        <v>0</v>
      </c>
      <c r="GA27" s="460">
        <v>0</v>
      </c>
      <c r="GB27" s="460">
        <f>GA27-FY27</f>
        <v>-38838.009768800002</v>
      </c>
      <c r="GC27" s="313">
        <f t="shared" si="23"/>
        <v>14</v>
      </c>
      <c r="GD27" s="320" t="s">
        <v>446</v>
      </c>
      <c r="GE27" s="320"/>
      <c r="GF27" s="502">
        <f>GF19+GF25</f>
        <v>0</v>
      </c>
      <c r="GG27" s="502">
        <f>GG19+GG25</f>
        <v>0</v>
      </c>
      <c r="GH27" s="502">
        <f>GH19+GH25</f>
        <v>0</v>
      </c>
      <c r="GI27" s="502">
        <f>GI19+GI25</f>
        <v>36080288.955627486</v>
      </c>
      <c r="GJ27" s="502">
        <f>GJ19+GJ25</f>
        <v>36080288.955627486</v>
      </c>
      <c r="GS27" s="313"/>
      <c r="HA27" s="7">
        <v>14</v>
      </c>
      <c r="HB27" s="319" t="s">
        <v>95</v>
      </c>
      <c r="HC27" s="319"/>
      <c r="HD27" s="506">
        <f>-HD24-HD26</f>
        <v>0</v>
      </c>
      <c r="HE27" s="506">
        <f>-HE24-HE26</f>
        <v>0</v>
      </c>
      <c r="HF27" s="506">
        <f>-HF24-HF26</f>
        <v>0</v>
      </c>
      <c r="HG27" s="506">
        <f>-HG24-HG26</f>
        <v>-582529.67963589286</v>
      </c>
      <c r="HH27" s="506">
        <f>-HH24-HH26</f>
        <v>-582529.67963589286</v>
      </c>
      <c r="HI27" s="313"/>
      <c r="HQ27" s="313">
        <f t="shared" si="27"/>
        <v>14</v>
      </c>
      <c r="HR27" s="6" t="s">
        <v>103</v>
      </c>
      <c r="HS27" s="11"/>
      <c r="HT27" s="8">
        <f>HT25</f>
        <v>0</v>
      </c>
      <c r="HU27" s="8">
        <f>HU25</f>
        <v>0</v>
      </c>
      <c r="HV27" s="8">
        <v>0</v>
      </c>
      <c r="HW27" s="8">
        <f>HW25</f>
        <v>718226.57403660007</v>
      </c>
      <c r="HX27" s="8">
        <f>HW27-HV27</f>
        <v>718226.57403660007</v>
      </c>
      <c r="HY27" s="313">
        <f t="shared" si="28"/>
        <v>14</v>
      </c>
      <c r="HZ27" s="156"/>
      <c r="IA27" s="156"/>
      <c r="IB27" s="156"/>
      <c r="IC27" s="156"/>
      <c r="ID27" s="156"/>
      <c r="IE27" s="156"/>
      <c r="IF27" s="156"/>
      <c r="IG27" s="156"/>
      <c r="IH27" s="156"/>
    </row>
    <row r="28" spans="1:242" ht="16.8" thickTop="1" thickBot="1" x14ac:dyDescent="0.35">
      <c r="A28" s="407">
        <f t="shared" si="5"/>
        <v>16</v>
      </c>
      <c r="B28" s="498" t="s">
        <v>369</v>
      </c>
      <c r="C28" s="1"/>
      <c r="D28" s="665"/>
      <c r="E28" s="665"/>
      <c r="F28" s="443">
        <v>-10345744.779999999</v>
      </c>
      <c r="G28" s="665"/>
      <c r="H28" s="443">
        <v>0</v>
      </c>
      <c r="I28" s="266">
        <f t="shared" si="0"/>
        <v>16</v>
      </c>
      <c r="J28" s="316" t="s">
        <v>95</v>
      </c>
      <c r="L28" s="35">
        <f>L25-L27</f>
        <v>607222320.74584806</v>
      </c>
      <c r="M28" s="35">
        <f>M25-M27</f>
        <v>612145233.57787585</v>
      </c>
      <c r="N28" s="35">
        <f>N25-N27</f>
        <v>4922912.8320278497</v>
      </c>
      <c r="O28" s="35">
        <f>O25-O27</f>
        <v>620715247.61938894</v>
      </c>
      <c r="P28" s="35">
        <f>P25-P27</f>
        <v>8570014.0415130965</v>
      </c>
      <c r="AG28" s="407">
        <f t="shared" si="1"/>
        <v>15</v>
      </c>
      <c r="AH28" s="308" t="s">
        <v>475</v>
      </c>
      <c r="AJ28" s="376">
        <f>SUM(AJ15:AJ27)</f>
        <v>190710324.65857193</v>
      </c>
      <c r="AK28" s="376">
        <f>SUM(AK15:AK27)</f>
        <v>0</v>
      </c>
      <c r="AL28" s="376">
        <f>SUM(AL15:AL27)</f>
        <v>-190710324.65857193</v>
      </c>
      <c r="AM28" s="376">
        <f>SUM(AM15:AM27)</f>
        <v>0</v>
      </c>
      <c r="AN28" s="376">
        <f>SUM(AN15:AN27)</f>
        <v>0</v>
      </c>
      <c r="AW28" s="7"/>
      <c r="AX28" s="7"/>
      <c r="AY28" s="7"/>
      <c r="AZ28" s="507"/>
      <c r="BA28" s="346"/>
      <c r="BB28" s="346"/>
      <c r="BC28" s="346"/>
      <c r="BD28" s="346"/>
      <c r="BE28" s="7">
        <f t="shared" si="10"/>
        <v>15</v>
      </c>
      <c r="BF28" s="468" t="s">
        <v>128</v>
      </c>
      <c r="BG28" s="197">
        <f>FIT_E</f>
        <v>0.21</v>
      </c>
      <c r="BH28" s="468">
        <f>-$BG$28*BH26</f>
        <v>-1961304.9548814881</v>
      </c>
      <c r="BI28" s="468">
        <f>-$BG$28*BI26</f>
        <v>-1912354.974573629</v>
      </c>
      <c r="BJ28" s="13">
        <f>+BI28-BH28</f>
        <v>48949.980307859136</v>
      </c>
      <c r="BK28" s="468">
        <f>+BI28</f>
        <v>-1912354.974573629</v>
      </c>
      <c r="BL28" s="13">
        <f>-BL26*BG28</f>
        <v>0</v>
      </c>
      <c r="BM28" s="302"/>
      <c r="DA28" s="302"/>
      <c r="DI28" s="7">
        <f t="shared" si="13"/>
        <v>15</v>
      </c>
      <c r="DJ28" s="508" t="s">
        <v>110</v>
      </c>
      <c r="DL28" s="509">
        <f>+DL26</f>
        <v>112284173.38838139</v>
      </c>
      <c r="DM28" s="509">
        <f>+DM26</f>
        <v>112362414.43288298</v>
      </c>
      <c r="DN28" s="509">
        <f>+DN26</f>
        <v>78241.044501578232</v>
      </c>
      <c r="DO28" s="509">
        <f>+DO26</f>
        <v>116164385.51941061</v>
      </c>
      <c r="DP28" s="509">
        <f>+DP26</f>
        <v>3801971.0865276367</v>
      </c>
      <c r="DQ28" s="7">
        <f t="shared" si="16"/>
        <v>15</v>
      </c>
      <c r="DR28" s="308" t="s">
        <v>107</v>
      </c>
      <c r="DS28" s="320"/>
      <c r="DT28" s="411">
        <f>SUM(DT26:DT27)</f>
        <v>6936279.8086278215</v>
      </c>
      <c r="DU28" s="411">
        <f>SUM(DU26:DU27)</f>
        <v>6952933.7275397414</v>
      </c>
      <c r="DV28" s="336">
        <f>+DU28-DT28</f>
        <v>16653.918911919929</v>
      </c>
      <c r="DW28" s="411">
        <f>SUM(DW26:DW27)</f>
        <v>7216449.3275726596</v>
      </c>
      <c r="DX28" s="8">
        <f>+DW28-DU28</f>
        <v>263515.60003291816</v>
      </c>
      <c r="EG28" s="266"/>
      <c r="EJ28" s="14"/>
      <c r="EK28" s="14"/>
      <c r="EL28" s="14"/>
      <c r="EM28" s="14"/>
      <c r="EN28" s="14"/>
      <c r="EO28" s="266">
        <f t="shared" si="18"/>
        <v>15</v>
      </c>
      <c r="ER28" s="9"/>
      <c r="ES28" s="9"/>
      <c r="ET28" s="9"/>
      <c r="EU28" s="9"/>
      <c r="EV28" s="9"/>
      <c r="FM28" s="266">
        <f t="shared" si="20"/>
        <v>15</v>
      </c>
      <c r="FN28" s="309" t="s">
        <v>436</v>
      </c>
      <c r="FO28" s="309"/>
      <c r="FP28" s="496"/>
      <c r="FQ28" s="496"/>
      <c r="FR28" s="496"/>
      <c r="FS28" s="496"/>
      <c r="FT28" s="496"/>
      <c r="FU28" s="7">
        <v>14</v>
      </c>
      <c r="FV28" s="14" t="s">
        <v>551</v>
      </c>
      <c r="FW28" s="442"/>
      <c r="FX28" s="460">
        <v>213558.06360000002</v>
      </c>
      <c r="FY28" s="460">
        <v>213558.06360000002</v>
      </c>
      <c r="FZ28" s="460">
        <f>FY28-FX28</f>
        <v>0</v>
      </c>
      <c r="GA28" s="460">
        <v>0</v>
      </c>
      <c r="GB28" s="460">
        <f>GA28-FY28</f>
        <v>-213558.06360000002</v>
      </c>
      <c r="GC28" s="313">
        <f t="shared" si="23"/>
        <v>15</v>
      </c>
      <c r="GD28" s="505"/>
      <c r="GE28" s="505"/>
      <c r="GF28" s="510"/>
      <c r="GG28" s="510"/>
      <c r="GH28" s="510"/>
      <c r="GI28" s="510"/>
      <c r="GJ28" s="511"/>
      <c r="GS28" s="313"/>
      <c r="HA28" s="266"/>
      <c r="HB28" s="319"/>
      <c r="HH28" s="196"/>
      <c r="HI28" s="313"/>
      <c r="HQ28" s="313">
        <f t="shared" si="27"/>
        <v>15</v>
      </c>
      <c r="HS28" s="11"/>
      <c r="HY28" s="313">
        <f t="shared" si="28"/>
        <v>15</v>
      </c>
      <c r="HZ28" s="156"/>
      <c r="IA28" s="156"/>
      <c r="IB28" s="156"/>
      <c r="IC28" s="156"/>
      <c r="ID28" s="156"/>
      <c r="IE28" s="156"/>
      <c r="IF28" s="156"/>
      <c r="IG28" s="156"/>
      <c r="IH28" s="156"/>
    </row>
    <row r="29" spans="1:242" ht="15.6" thickTop="1" thickBot="1" x14ac:dyDescent="0.35">
      <c r="A29" s="407">
        <f t="shared" si="5"/>
        <v>17</v>
      </c>
      <c r="B29" s="498" t="s">
        <v>496</v>
      </c>
      <c r="C29" s="1"/>
      <c r="D29" s="665"/>
      <c r="E29" s="665"/>
      <c r="F29" s="443">
        <v>0</v>
      </c>
      <c r="G29" s="665"/>
      <c r="H29" s="443">
        <v>835357.9</v>
      </c>
      <c r="I29" s="266">
        <f t="shared" si="0"/>
        <v>17</v>
      </c>
      <c r="L29" s="9"/>
      <c r="M29" s="9"/>
      <c r="N29" s="9"/>
      <c r="O29" s="9"/>
      <c r="P29" s="9"/>
      <c r="AG29" s="407">
        <f t="shared" si="1"/>
        <v>16</v>
      </c>
      <c r="AH29" s="1"/>
      <c r="AN29" s="221"/>
      <c r="AW29" s="7"/>
      <c r="AX29" s="7"/>
      <c r="AY29" s="7"/>
      <c r="AZ29" s="512"/>
      <c r="BA29" s="346"/>
      <c r="BB29" s="346"/>
      <c r="BC29" s="346"/>
      <c r="BD29" s="346"/>
      <c r="BE29" s="7">
        <f t="shared" si="10"/>
        <v>16</v>
      </c>
      <c r="BF29" s="320" t="s">
        <v>95</v>
      </c>
      <c r="BH29" s="513">
        <f>-BH26-BH28</f>
        <v>-7378242.4493160741</v>
      </c>
      <c r="BI29" s="513">
        <f>-BI26-BI28</f>
        <v>-7194097.285300795</v>
      </c>
      <c r="BJ29" s="513">
        <f>-BJ26-BJ28</f>
        <v>184145.16401528011</v>
      </c>
      <c r="BK29" s="513">
        <f>-BK26-BK28</f>
        <v>-7194097.285300795</v>
      </c>
      <c r="BL29" s="513">
        <f>-BL26-BL28</f>
        <v>0</v>
      </c>
      <c r="BM29" s="302"/>
      <c r="DA29" s="302"/>
      <c r="DI29" s="7">
        <f t="shared" si="13"/>
        <v>16</v>
      </c>
      <c r="DJ29" s="320" t="s">
        <v>154</v>
      </c>
      <c r="DK29" s="194">
        <f>+[0]!FIT_E</f>
        <v>0.21</v>
      </c>
      <c r="DL29" s="514">
        <f>-DL28*$DK$29</f>
        <v>-23579676.411560092</v>
      </c>
      <c r="DM29" s="514">
        <f>-DM28*$DK$29</f>
        <v>-23596107.030905426</v>
      </c>
      <c r="DN29" s="514">
        <f>-DN28*$DK$29</f>
        <v>-16430.619345331426</v>
      </c>
      <c r="DO29" s="514">
        <f>-DO28*$DK$29</f>
        <v>-24394520.959076226</v>
      </c>
      <c r="DP29" s="514">
        <f>-DP28*$DK$29</f>
        <v>-798413.9281708037</v>
      </c>
      <c r="DQ29" s="7">
        <f t="shared" si="16"/>
        <v>16</v>
      </c>
      <c r="DR29" s="308"/>
      <c r="DS29" s="320"/>
      <c r="DT29" s="10"/>
      <c r="DU29" s="10"/>
      <c r="DV29" s="10"/>
      <c r="DW29" s="10"/>
      <c r="DX29" s="10"/>
      <c r="EG29" s="266"/>
      <c r="EJ29" s="14"/>
      <c r="EK29" s="14"/>
      <c r="EL29" s="14"/>
      <c r="EM29" s="14"/>
      <c r="EN29" s="14"/>
      <c r="EO29" s="266">
        <f t="shared" si="18"/>
        <v>16</v>
      </c>
      <c r="EP29" s="422" t="s">
        <v>383</v>
      </c>
      <c r="ER29" s="9"/>
      <c r="ES29" s="9"/>
      <c r="ET29" s="9"/>
      <c r="EU29" s="9"/>
      <c r="EV29" s="9"/>
      <c r="FM29" s="266">
        <f t="shared" si="20"/>
        <v>16</v>
      </c>
      <c r="FN29" s="220" t="s">
        <v>437</v>
      </c>
      <c r="FO29" s="220"/>
      <c r="FP29" s="346">
        <v>0</v>
      </c>
      <c r="FQ29" s="346">
        <v>0</v>
      </c>
      <c r="FR29" s="346">
        <v>0</v>
      </c>
      <c r="FS29" s="346">
        <v>3626212.296320233</v>
      </c>
      <c r="FT29" s="346">
        <f>+FS29-FR29</f>
        <v>3626212.296320233</v>
      </c>
      <c r="FU29" s="7">
        <v>15</v>
      </c>
      <c r="FV29" s="316" t="s">
        <v>142</v>
      </c>
      <c r="FW29" s="316"/>
      <c r="FX29" s="515">
        <f>SUM(FX15:FX28)</f>
        <v>6037166.6034654509</v>
      </c>
      <c r="FY29" s="515">
        <f>SUM(FY15:FY28)</f>
        <v>5605656.5497177504</v>
      </c>
      <c r="FZ29" s="515">
        <f>SUM(FZ15:FZ28)</f>
        <v>-431510.05374770041</v>
      </c>
      <c r="GA29" s="515">
        <f>SUM(GA15:GA28)</f>
        <v>5106227.474543401</v>
      </c>
      <c r="GB29" s="515">
        <f>SUM(GB15:GB28)</f>
        <v>-499429.07517434994</v>
      </c>
      <c r="GC29" s="313">
        <f t="shared" si="23"/>
        <v>16</v>
      </c>
      <c r="GD29" s="309" t="s">
        <v>436</v>
      </c>
      <c r="GE29" s="309"/>
      <c r="GF29" s="1"/>
      <c r="GG29" s="1"/>
      <c r="GH29" s="1"/>
      <c r="GI29" s="1"/>
      <c r="GJ29" s="1"/>
      <c r="GS29" s="313"/>
      <c r="HA29" s="313"/>
      <c r="HI29" s="313"/>
      <c r="HQ29" s="313">
        <f t="shared" si="27"/>
        <v>16</v>
      </c>
      <c r="HR29" s="6" t="s">
        <v>128</v>
      </c>
      <c r="HS29" s="197">
        <v>0.21</v>
      </c>
      <c r="HT29" s="196">
        <f>-HT27*HS29</f>
        <v>0</v>
      </c>
      <c r="HU29" s="196">
        <f>+HU27*HS29</f>
        <v>0</v>
      </c>
      <c r="HV29" s="196">
        <v>0</v>
      </c>
      <c r="HW29" s="196">
        <f>-HW27*HS29</f>
        <v>-150827.580547686</v>
      </c>
      <c r="HX29" s="196">
        <f>HW29-HV29</f>
        <v>-150827.580547686</v>
      </c>
      <c r="HY29" s="313">
        <f t="shared" si="28"/>
        <v>16</v>
      </c>
      <c r="HZ29" s="156"/>
      <c r="IA29" s="156"/>
      <c r="IB29" s="156"/>
      <c r="IC29" s="156"/>
      <c r="ID29" s="156"/>
      <c r="IE29" s="156"/>
      <c r="IF29" s="156"/>
      <c r="IG29" s="156"/>
      <c r="IH29" s="156"/>
    </row>
    <row r="30" spans="1:242" ht="15.6" thickTop="1" thickBot="1" x14ac:dyDescent="0.35">
      <c r="A30" s="407">
        <f t="shared" si="5"/>
        <v>18</v>
      </c>
      <c r="B30" s="498" t="s">
        <v>497</v>
      </c>
      <c r="C30" s="372"/>
      <c r="D30" s="666"/>
      <c r="E30" s="666"/>
      <c r="F30" s="443">
        <v>0</v>
      </c>
      <c r="G30" s="666"/>
      <c r="H30" s="443">
        <v>1010226.96</v>
      </c>
      <c r="I30" s="266">
        <f t="shared" si="0"/>
        <v>18</v>
      </c>
      <c r="J30" s="6" t="s">
        <v>373</v>
      </c>
      <c r="N30" s="8">
        <v>3986</v>
      </c>
      <c r="O30" s="9"/>
      <c r="P30" s="8">
        <v>3986</v>
      </c>
      <c r="AG30" s="407">
        <f t="shared" si="1"/>
        <v>17</v>
      </c>
      <c r="AH30" s="377" t="s">
        <v>137</v>
      </c>
      <c r="AN30" s="221"/>
      <c r="AW30" s="7"/>
      <c r="AX30" s="7"/>
      <c r="AY30" s="7"/>
      <c r="AZ30" s="373"/>
      <c r="BA30" s="485"/>
      <c r="BB30" s="485"/>
      <c r="BC30" s="485"/>
      <c r="BD30" s="485"/>
      <c r="DA30" s="302"/>
      <c r="DI30" s="7">
        <f t="shared" si="13"/>
        <v>17</v>
      </c>
      <c r="DJ30" s="320" t="s">
        <v>95</v>
      </c>
      <c r="DL30" s="388">
        <f>-DL28-DL29</f>
        <v>-88704496.976821303</v>
      </c>
      <c r="DM30" s="388">
        <f>-DM28-DM29</f>
        <v>-88766307.401977554</v>
      </c>
      <c r="DN30" s="388">
        <f>-DN28-DN29</f>
        <v>-61810.425156246805</v>
      </c>
      <c r="DO30" s="388">
        <f>-DO28-DO29</f>
        <v>-91769864.560334384</v>
      </c>
      <c r="DP30" s="388">
        <f>-DP28-DP29</f>
        <v>-3003557.1583568333</v>
      </c>
      <c r="DQ30" s="7">
        <f t="shared" si="16"/>
        <v>17</v>
      </c>
      <c r="DR30" s="308" t="s">
        <v>223</v>
      </c>
      <c r="DS30" s="320"/>
      <c r="DT30" s="8">
        <f>+DT28</f>
        <v>6936279.8086278215</v>
      </c>
      <c r="DU30" s="8">
        <f>+DU28</f>
        <v>6952933.7275397414</v>
      </c>
      <c r="DV30" s="8">
        <f>+DV28</f>
        <v>16653.918911919929</v>
      </c>
      <c r="DW30" s="8">
        <f>+DW28</f>
        <v>7216449.3275726596</v>
      </c>
      <c r="DX30" s="8">
        <f>+DX28</f>
        <v>263515.60003291816</v>
      </c>
      <c r="EJ30" s="14"/>
      <c r="EK30" s="14"/>
      <c r="EL30" s="14"/>
      <c r="EM30" s="14"/>
      <c r="EN30" s="14"/>
      <c r="EO30" s="266">
        <f t="shared" si="18"/>
        <v>17</v>
      </c>
      <c r="EP30" s="422" t="s">
        <v>384</v>
      </c>
      <c r="ER30" s="417">
        <f t="shared" ref="ER30:ES30" si="34">-ER23</f>
        <v>-405261817.13353872</v>
      </c>
      <c r="ES30" s="417">
        <f t="shared" si="34"/>
        <v>-426660492.4238199</v>
      </c>
      <c r="ET30" s="417">
        <f>-ET23</f>
        <v>-21398675.290281195</v>
      </c>
      <c r="EU30" s="417">
        <f t="shared" ref="EU30:EV30" si="35">-EU23</f>
        <v>-426660492.4238199</v>
      </c>
      <c r="EV30" s="417">
        <f t="shared" si="35"/>
        <v>0</v>
      </c>
      <c r="EW30" s="266"/>
      <c r="FM30" s="266">
        <f t="shared" si="20"/>
        <v>17</v>
      </c>
      <c r="FN30" s="220" t="s">
        <v>486</v>
      </c>
      <c r="FP30" s="346">
        <v>0</v>
      </c>
      <c r="FQ30" s="346">
        <v>0</v>
      </c>
      <c r="FR30" s="346">
        <v>0</v>
      </c>
      <c r="FS30" s="346">
        <v>-107268.228</v>
      </c>
      <c r="FT30" s="346">
        <f>+FS30-FR30</f>
        <v>-107268.228</v>
      </c>
      <c r="FU30" s="7">
        <v>16</v>
      </c>
      <c r="FV30" s="337" t="s">
        <v>334</v>
      </c>
      <c r="FW30" s="337"/>
      <c r="FX30" s="198"/>
      <c r="FY30" s="198"/>
      <c r="FZ30" s="198"/>
      <c r="GA30" s="198"/>
      <c r="GB30" s="198"/>
      <c r="GC30" s="313">
        <f t="shared" si="23"/>
        <v>17</v>
      </c>
      <c r="GD30" s="220" t="s">
        <v>474</v>
      </c>
      <c r="GE30" s="220"/>
      <c r="GF30" s="356"/>
      <c r="GG30" s="356"/>
      <c r="GH30" s="356">
        <v>0</v>
      </c>
      <c r="GI30" s="356">
        <v>8125865.8953315997</v>
      </c>
      <c r="GJ30" s="356">
        <f>+GI30-GH30</f>
        <v>8125865.8953315997</v>
      </c>
      <c r="GS30" s="313"/>
      <c r="HA30" s="313"/>
      <c r="HI30" s="313"/>
      <c r="HQ30" s="313">
        <f t="shared" si="27"/>
        <v>17</v>
      </c>
      <c r="HR30" s="6" t="s">
        <v>95</v>
      </c>
      <c r="HS30" s="11"/>
      <c r="HT30" s="35">
        <f>-HT27-HT29</f>
        <v>0</v>
      </c>
      <c r="HU30" s="35">
        <f>-HU27-HU29</f>
        <v>0</v>
      </c>
      <c r="HV30" s="35">
        <f>-HV27-HV29</f>
        <v>0</v>
      </c>
      <c r="HW30" s="35">
        <f>-HW27-HW29</f>
        <v>-567398.9934889141</v>
      </c>
      <c r="HX30" s="35">
        <f>-HX27-HX29</f>
        <v>-567398.9934889141</v>
      </c>
      <c r="HY30" s="313">
        <f t="shared" si="28"/>
        <v>17</v>
      </c>
      <c r="HZ30" s="156"/>
      <c r="IA30" s="156"/>
      <c r="IB30" s="156"/>
      <c r="IC30" s="156"/>
      <c r="ID30" s="156"/>
      <c r="IE30" s="156"/>
      <c r="IF30" s="156"/>
      <c r="IG30" s="156"/>
      <c r="IH30" s="156"/>
    </row>
    <row r="31" spans="1:242" ht="15" thickTop="1" x14ac:dyDescent="0.3">
      <c r="A31" s="407">
        <f t="shared" si="5"/>
        <v>19</v>
      </c>
      <c r="B31" s="344" t="s">
        <v>367</v>
      </c>
      <c r="C31" s="1"/>
      <c r="D31" s="191"/>
      <c r="E31" s="191"/>
      <c r="F31" s="516">
        <f>SUM(F25:F30)</f>
        <v>2744403.99</v>
      </c>
      <c r="G31" s="516"/>
      <c r="H31" s="516">
        <f>SUM(H25:H30)</f>
        <v>-16381468.550000004</v>
      </c>
      <c r="I31" s="266">
        <f t="shared" si="0"/>
        <v>19</v>
      </c>
      <c r="J31" s="6" t="s">
        <v>374</v>
      </c>
      <c r="N31" s="9">
        <v>6547835</v>
      </c>
      <c r="O31" s="9"/>
      <c r="P31" s="9">
        <v>11401700</v>
      </c>
      <c r="AE31" s="221"/>
      <c r="AG31" s="407">
        <f t="shared" si="1"/>
        <v>18</v>
      </c>
      <c r="AH31" s="1" t="s">
        <v>82</v>
      </c>
      <c r="AI31" s="199">
        <f>'COC, Def, ConvF'!M12</f>
        <v>8.4790000000000004E-3</v>
      </c>
      <c r="AJ31" s="9">
        <v>1605619.9023454485</v>
      </c>
      <c r="AK31" s="221">
        <v>0</v>
      </c>
      <c r="AL31" s="221">
        <f>+AK31-AJ31</f>
        <v>-1605619.9023454485</v>
      </c>
      <c r="AM31" s="221">
        <f>+AK31</f>
        <v>0</v>
      </c>
      <c r="AN31" s="221">
        <f>AM31-AK31</f>
        <v>0</v>
      </c>
      <c r="AW31" s="7"/>
      <c r="AX31" s="7"/>
      <c r="AY31" s="7"/>
      <c r="AZ31" s="373"/>
      <c r="BA31" s="485"/>
      <c r="BB31" s="485"/>
      <c r="BC31" s="485"/>
      <c r="BD31" s="485"/>
      <c r="DA31" s="302"/>
      <c r="DQ31" s="7">
        <f t="shared" si="16"/>
        <v>18</v>
      </c>
      <c r="DR31" s="308"/>
      <c r="DS31" s="320"/>
      <c r="EJ31" s="14"/>
      <c r="EK31" s="14"/>
      <c r="EL31" s="14"/>
      <c r="EM31" s="14"/>
      <c r="EN31" s="14"/>
      <c r="EO31" s="266">
        <f t="shared" si="18"/>
        <v>18</v>
      </c>
      <c r="EP31" s="422" t="s">
        <v>251</v>
      </c>
      <c r="ER31" s="9">
        <f t="shared" ref="ER31:ES31" si="36">-ER30*0.21</f>
        <v>85104981.598043129</v>
      </c>
      <c r="ES31" s="9">
        <f t="shared" si="36"/>
        <v>89598703.40900217</v>
      </c>
      <c r="ET31" s="9">
        <f>-ET30*0.21</f>
        <v>4493721.8109590504</v>
      </c>
      <c r="EU31" s="9">
        <f t="shared" ref="EU31:EV31" si="37">-EU30*0.21</f>
        <v>89598703.40900217</v>
      </c>
      <c r="EV31" s="9">
        <f t="shared" si="37"/>
        <v>0</v>
      </c>
      <c r="EW31" s="266"/>
      <c r="FM31" s="266">
        <f t="shared" si="20"/>
        <v>18</v>
      </c>
      <c r="FN31" s="220" t="s">
        <v>447</v>
      </c>
      <c r="FO31" s="220"/>
      <c r="FP31" s="346">
        <v>0</v>
      </c>
      <c r="FQ31" s="346">
        <v>0</v>
      </c>
      <c r="FR31" s="346">
        <v>0</v>
      </c>
      <c r="FS31" s="346">
        <v>1100394.6870659131</v>
      </c>
      <c r="FT31" s="346">
        <f>+FS31-FR31</f>
        <v>1100394.6870659131</v>
      </c>
      <c r="FU31" s="7">
        <v>17</v>
      </c>
      <c r="FV31" s="337" t="s">
        <v>146</v>
      </c>
      <c r="FW31" s="350">
        <f>+[0]!FIT_E</f>
        <v>0.21</v>
      </c>
      <c r="FX31" s="198">
        <f>-$FW$31*FX29</f>
        <v>-1267804.9867277446</v>
      </c>
      <c r="FY31" s="198">
        <f>-$FW$31*FY29</f>
        <v>-1177187.8754407275</v>
      </c>
      <c r="FZ31" s="198">
        <f>-$FW$31*FZ29</f>
        <v>90617.111287017076</v>
      </c>
      <c r="GA31" s="198">
        <f>-$FW$31*GA29</f>
        <v>-1072307.7696541143</v>
      </c>
      <c r="GB31" s="198">
        <f>-$FW$31*GB29</f>
        <v>104880.10578661348</v>
      </c>
      <c r="GC31" s="313">
        <f t="shared" si="23"/>
        <v>18</v>
      </c>
      <c r="GD31" s="220" t="s">
        <v>469</v>
      </c>
      <c r="GE31" s="220"/>
      <c r="GF31" s="346"/>
      <c r="GG31" s="346"/>
      <c r="GH31" s="346">
        <v>0</v>
      </c>
      <c r="GI31" s="346">
        <v>7607135.1776180407</v>
      </c>
      <c r="GJ31" s="346">
        <f>+GI31-GH31</f>
        <v>7607135.1776180407</v>
      </c>
      <c r="GS31" s="313"/>
      <c r="HA31" s="313"/>
      <c r="HI31" s="313"/>
      <c r="HR31" s="11"/>
      <c r="HS31" s="11"/>
      <c r="HZ31" s="156"/>
      <c r="IA31" s="156"/>
      <c r="IB31" s="156"/>
      <c r="IC31" s="156"/>
      <c r="ID31" s="156"/>
      <c r="IE31" s="156"/>
      <c r="IF31" s="156"/>
      <c r="IG31" s="156"/>
      <c r="IH31" s="156"/>
    </row>
    <row r="32" spans="1:242" ht="15" thickBot="1" x14ac:dyDescent="0.35">
      <c r="A32" s="407">
        <f t="shared" si="5"/>
        <v>20</v>
      </c>
      <c r="B32" s="375" t="s">
        <v>481</v>
      </c>
      <c r="C32" s="1"/>
      <c r="D32" s="443"/>
      <c r="E32" s="443"/>
      <c r="F32" s="443">
        <f>F23+F31</f>
        <v>44044500.61980398</v>
      </c>
      <c r="G32" s="443"/>
      <c r="H32" s="443">
        <f>H23+H31</f>
        <v>-34175864.030000001</v>
      </c>
      <c r="I32" s="266">
        <f t="shared" si="0"/>
        <v>20</v>
      </c>
      <c r="J32" s="6" t="s">
        <v>667</v>
      </c>
      <c r="N32" s="35">
        <f>SUM(N30:N31)</f>
        <v>6551821</v>
      </c>
      <c r="O32" s="9"/>
      <c r="P32" s="35">
        <f>SUM(P30:P31)</f>
        <v>11405686</v>
      </c>
      <c r="AE32" s="221"/>
      <c r="AG32" s="407">
        <f t="shared" si="1"/>
        <v>19</v>
      </c>
      <c r="AH32" s="1" t="s">
        <v>83</v>
      </c>
      <c r="AI32" s="199">
        <f>'COC, Def, ConvF'!M13</f>
        <v>2E-3</v>
      </c>
      <c r="AJ32" s="9">
        <v>378728.60062400007</v>
      </c>
      <c r="AK32" s="221">
        <v>0</v>
      </c>
      <c r="AL32" s="221">
        <f>+AK32-AJ32</f>
        <v>-378728.60062400007</v>
      </c>
      <c r="AM32" s="221">
        <f>+AK32</f>
        <v>0</v>
      </c>
      <c r="AN32" s="221">
        <f>AM32-AK32</f>
        <v>0</v>
      </c>
      <c r="AW32" s="7"/>
      <c r="AX32" s="7"/>
      <c r="AY32" s="7"/>
      <c r="AZ32" s="373"/>
      <c r="BA32" s="485"/>
      <c r="BB32" s="485"/>
      <c r="BC32" s="485"/>
      <c r="BD32" s="485"/>
      <c r="DA32" s="302"/>
      <c r="DQ32" s="7">
        <f t="shared" si="16"/>
        <v>19</v>
      </c>
      <c r="DR32" s="308" t="s">
        <v>128</v>
      </c>
      <c r="DS32" s="194">
        <f>+[0]!FIT_E</f>
        <v>0.21</v>
      </c>
      <c r="DT32" s="477">
        <f>-DT30*$DS$32</f>
        <v>-1456618.7598118423</v>
      </c>
      <c r="DU32" s="477">
        <f>-DU30*$DS$32</f>
        <v>-1460116.0827833456</v>
      </c>
      <c r="DV32" s="477">
        <f>-DV30*$DS$32</f>
        <v>-3497.3229715031848</v>
      </c>
      <c r="DW32" s="477">
        <f>-DW30*$DS$32</f>
        <v>-1515454.3587902584</v>
      </c>
      <c r="DX32" s="477">
        <f>-DX30*$DS$32</f>
        <v>-55338.276006912813</v>
      </c>
      <c r="EJ32" s="14"/>
      <c r="EK32" s="14"/>
      <c r="EL32" s="14"/>
      <c r="EM32" s="14"/>
      <c r="EN32" s="14"/>
      <c r="EO32" s="266">
        <f t="shared" si="18"/>
        <v>19</v>
      </c>
      <c r="EP32" s="422" t="s">
        <v>385</v>
      </c>
      <c r="ER32" s="352">
        <f t="shared" ref="ER32:ES32" si="38">SUM(ER30:ER31)</f>
        <v>-320156835.53549558</v>
      </c>
      <c r="ES32" s="352">
        <f t="shared" si="38"/>
        <v>-337061789.01481771</v>
      </c>
      <c r="ET32" s="352">
        <f>SUM(ET30:ET31)</f>
        <v>-16904953.479322143</v>
      </c>
      <c r="EU32" s="352">
        <f t="shared" ref="EU32:EV32" si="39">SUM(EU30:EU31)</f>
        <v>-337061789.01481771</v>
      </c>
      <c r="EV32" s="352">
        <f t="shared" si="39"/>
        <v>0</v>
      </c>
      <c r="EW32" s="266"/>
      <c r="FM32" s="266">
        <f t="shared" si="20"/>
        <v>19</v>
      </c>
      <c r="FN32" s="220" t="s">
        <v>448</v>
      </c>
      <c r="FO32" s="220"/>
      <c r="FP32" s="346">
        <v>0</v>
      </c>
      <c r="FQ32" s="346">
        <v>0</v>
      </c>
      <c r="FR32" s="346">
        <v>0</v>
      </c>
      <c r="FS32" s="346">
        <v>4272107.551816945</v>
      </c>
      <c r="FT32" s="346">
        <f>+FS32-FR32</f>
        <v>4272107.551816945</v>
      </c>
      <c r="FU32" s="7">
        <v>18</v>
      </c>
      <c r="FV32" s="337" t="s">
        <v>121</v>
      </c>
      <c r="FW32" s="337"/>
      <c r="FX32" s="189">
        <f>-FX29-FX31</f>
        <v>-4769361.6167377066</v>
      </c>
      <c r="FY32" s="189">
        <f>-FY29-FY31</f>
        <v>-4428468.6742770225</v>
      </c>
      <c r="FZ32" s="189">
        <f>-FZ29-FZ31</f>
        <v>340892.94246068335</v>
      </c>
      <c r="GA32" s="189">
        <f>-GA29-GA31</f>
        <v>-4033919.7048892868</v>
      </c>
      <c r="GB32" s="189">
        <f>-GB29-GB31</f>
        <v>394548.96938773646</v>
      </c>
      <c r="GC32" s="313">
        <f t="shared" si="23"/>
        <v>19</v>
      </c>
      <c r="GD32" s="220" t="s">
        <v>466</v>
      </c>
      <c r="GE32" s="220"/>
      <c r="GF32" s="346"/>
      <c r="GG32" s="346"/>
      <c r="GH32" s="346">
        <v>0</v>
      </c>
      <c r="GI32" s="631">
        <v>314554.1259513605</v>
      </c>
      <c r="GJ32" s="631">
        <f>+GI32-GH32</f>
        <v>314554.1259513605</v>
      </c>
      <c r="IG32" s="156"/>
      <c r="IH32" s="156"/>
    </row>
    <row r="33" spans="1:192" ht="15" thickTop="1" thickBot="1" x14ac:dyDescent="0.3">
      <c r="A33" s="407">
        <f t="shared" si="5"/>
        <v>21</v>
      </c>
      <c r="B33" s="316"/>
      <c r="C33" s="1"/>
      <c r="D33" s="518"/>
      <c r="E33" s="518"/>
      <c r="F33" s="518"/>
      <c r="G33" s="518"/>
      <c r="H33" s="346"/>
      <c r="N33" s="9"/>
      <c r="O33" s="9"/>
      <c r="P33" s="9"/>
      <c r="AE33" s="221"/>
      <c r="AG33" s="407">
        <f t="shared" si="1"/>
        <v>20</v>
      </c>
      <c r="AH33" s="1" t="s">
        <v>138</v>
      </c>
      <c r="AI33" s="199">
        <f>'COC, Def, ConvF'!M14</f>
        <v>3.8406000000000003E-2</v>
      </c>
      <c r="AJ33" s="9">
        <v>7272725.317782674</v>
      </c>
      <c r="AK33" s="221">
        <v>0</v>
      </c>
      <c r="AL33" s="221">
        <f>+AK33-AJ33</f>
        <v>-7272725.317782674</v>
      </c>
      <c r="AM33" s="221">
        <f>+AK33</f>
        <v>0</v>
      </c>
      <c r="AN33" s="221">
        <f>AM33-AK33</f>
        <v>0</v>
      </c>
      <c r="AZ33" s="11"/>
      <c r="BA33" s="11"/>
      <c r="BB33" s="11"/>
      <c r="BC33" s="11"/>
      <c r="BD33" s="11"/>
      <c r="DQ33" s="7">
        <f t="shared" si="16"/>
        <v>20</v>
      </c>
      <c r="DR33" s="308"/>
      <c r="DS33" s="320"/>
      <c r="DT33" s="10"/>
      <c r="DU33" s="10"/>
      <c r="DV33" s="10"/>
      <c r="DW33" s="10"/>
      <c r="DX33" s="10"/>
      <c r="EJ33" s="14"/>
      <c r="EK33" s="14"/>
      <c r="EL33" s="14"/>
      <c r="EM33" s="14"/>
      <c r="EN33" s="14"/>
      <c r="EO33" s="266"/>
      <c r="FM33" s="266">
        <f t="shared" si="20"/>
        <v>20</v>
      </c>
      <c r="FN33" s="220" t="s">
        <v>438</v>
      </c>
      <c r="FO33" s="220"/>
      <c r="FP33" s="334">
        <f>SUM(FP29:FP32)</f>
        <v>0</v>
      </c>
      <c r="FQ33" s="334">
        <f>SUM(FQ29:FQ32)</f>
        <v>0</v>
      </c>
      <c r="FR33" s="334">
        <f>SUM(FR29:FR32)</f>
        <v>0</v>
      </c>
      <c r="FS33" s="334">
        <f>SUM(FS29:FS32)</f>
        <v>8891446.3072030917</v>
      </c>
      <c r="FT33" s="334">
        <f>SUM(FT29:FT32)</f>
        <v>8891446.3072030917</v>
      </c>
      <c r="FU33" s="7"/>
      <c r="FV33" s="14"/>
      <c r="FW33" s="14"/>
      <c r="FX33" s="14"/>
      <c r="FY33" s="14"/>
      <c r="FZ33" s="14"/>
      <c r="GA33" s="14"/>
      <c r="GB33" s="14"/>
      <c r="GC33" s="313">
        <f t="shared" si="23"/>
        <v>20</v>
      </c>
      <c r="GD33" s="220" t="s">
        <v>438</v>
      </c>
      <c r="GE33" s="220"/>
      <c r="GF33" s="352">
        <f>SUM(GF30:GF32)</f>
        <v>0</v>
      </c>
      <c r="GG33" s="352">
        <f>SUM(GG30:GG32)</f>
        <v>0</v>
      </c>
      <c r="GH33" s="352">
        <f>SUM(GH30:GH32)</f>
        <v>0</v>
      </c>
      <c r="GI33" s="446">
        <f>SUM(GI30:GI32)</f>
        <v>16047555.198901001</v>
      </c>
      <c r="GJ33" s="446">
        <f>SUM(GJ30:GJ32)</f>
        <v>16047555.198901001</v>
      </c>
    </row>
    <row r="34" spans="1:192" ht="16.8" thickTop="1" thickBot="1" x14ac:dyDescent="0.35">
      <c r="A34" s="407">
        <f t="shared" si="5"/>
        <v>22</v>
      </c>
      <c r="B34" s="316"/>
      <c r="D34" s="443"/>
      <c r="E34" s="443"/>
      <c r="F34" s="443"/>
      <c r="G34" s="443"/>
      <c r="H34" s="443"/>
      <c r="J34" s="156"/>
      <c r="K34" s="156"/>
      <c r="L34" s="156"/>
      <c r="M34" s="156"/>
      <c r="N34" s="156"/>
      <c r="O34" s="156"/>
      <c r="P34" s="156"/>
      <c r="AE34" s="221"/>
      <c r="AG34" s="407">
        <f t="shared" si="1"/>
        <v>21</v>
      </c>
      <c r="AH34" s="1" t="s">
        <v>66</v>
      </c>
      <c r="AJ34" s="23">
        <f>SUM(AJ31:AJ33)</f>
        <v>9257073.8207521215</v>
      </c>
      <c r="AK34" s="23">
        <f>SUM(AK31:AK33)</f>
        <v>0</v>
      </c>
      <c r="AL34" s="23">
        <f>SUM(AL31:AL33)</f>
        <v>-9257073.8207521215</v>
      </c>
      <c r="AM34" s="10"/>
      <c r="AN34" s="10"/>
      <c r="DQ34" s="7">
        <f t="shared" si="16"/>
        <v>21</v>
      </c>
      <c r="DR34" s="320" t="s">
        <v>95</v>
      </c>
      <c r="DS34" s="320"/>
      <c r="DT34" s="387">
        <f>-DT30-DT32</f>
        <v>-5479661.0488159787</v>
      </c>
      <c r="DU34" s="387">
        <f>-DU30-DU32</f>
        <v>-5492817.6447563954</v>
      </c>
      <c r="DV34" s="387">
        <f>-DV30-DV32</f>
        <v>-13156.595940416744</v>
      </c>
      <c r="DW34" s="387">
        <f>-DW30-DW32</f>
        <v>-5700994.9687824007</v>
      </c>
      <c r="DX34" s="387">
        <f>-DX30-DX32</f>
        <v>-208177.32402600534</v>
      </c>
      <c r="EJ34" s="14"/>
      <c r="EK34" s="14"/>
      <c r="EL34" s="14"/>
      <c r="EM34" s="14"/>
      <c r="EN34" s="14"/>
      <c r="FM34" s="266">
        <f t="shared" si="20"/>
        <v>21</v>
      </c>
      <c r="FN34" s="361" t="s">
        <v>334</v>
      </c>
      <c r="FO34" s="361"/>
      <c r="FP34" s="363"/>
      <c r="FQ34" s="363"/>
      <c r="FR34" s="363"/>
      <c r="FS34" s="363"/>
      <c r="FT34" s="363"/>
      <c r="FU34" s="7"/>
      <c r="FV34" s="14"/>
      <c r="FW34" s="14"/>
      <c r="FX34" s="14"/>
      <c r="FY34" s="14"/>
      <c r="FZ34" s="14"/>
      <c r="GA34" s="14"/>
      <c r="GB34" s="14"/>
      <c r="GC34" s="313">
        <f t="shared" si="23"/>
        <v>21</v>
      </c>
      <c r="GD34" s="519" t="s">
        <v>575</v>
      </c>
      <c r="GE34" s="520">
        <v>0.66190000000000004</v>
      </c>
      <c r="GF34" s="496"/>
      <c r="GG34" s="496"/>
      <c r="GH34" s="496"/>
      <c r="GI34" s="496"/>
      <c r="GJ34" s="496"/>
    </row>
    <row r="35" spans="1:192" ht="16.5" customHeight="1" thickTop="1" x14ac:dyDescent="0.3">
      <c r="A35" s="407">
        <f t="shared" si="5"/>
        <v>23</v>
      </c>
      <c r="D35" s="443"/>
      <c r="E35" s="443"/>
      <c r="F35" s="443"/>
      <c r="G35" s="443"/>
      <c r="H35" s="443"/>
      <c r="J35" s="156"/>
      <c r="K35" s="156"/>
      <c r="L35" s="156"/>
      <c r="M35" s="156"/>
      <c r="N35" s="156"/>
      <c r="O35" s="156"/>
      <c r="P35" s="156"/>
      <c r="AE35" s="221"/>
      <c r="AG35" s="407">
        <f t="shared" si="1"/>
        <v>22</v>
      </c>
      <c r="AH35" s="1"/>
      <c r="AN35" s="221"/>
      <c r="EJ35" s="14"/>
      <c r="EK35" s="14"/>
      <c r="EL35" s="14"/>
      <c r="EM35" s="14"/>
      <c r="EN35" s="14"/>
      <c r="FM35" s="266">
        <f t="shared" si="20"/>
        <v>22</v>
      </c>
      <c r="FN35" s="319" t="s">
        <v>103</v>
      </c>
      <c r="FO35" s="319"/>
      <c r="FP35" s="346"/>
      <c r="FQ35" s="346"/>
      <c r="FR35" s="346"/>
      <c r="FS35" s="346">
        <f>+FS33</f>
        <v>8891446.3072030917</v>
      </c>
      <c r="FT35" s="346">
        <f>FT33</f>
        <v>8891446.3072030917</v>
      </c>
      <c r="FU35" s="7"/>
      <c r="FV35" s="14"/>
      <c r="FW35" s="14"/>
      <c r="FX35" s="14"/>
      <c r="FY35" s="14"/>
      <c r="FZ35" s="14"/>
      <c r="GA35" s="14"/>
      <c r="GB35" s="14"/>
      <c r="GC35" s="313">
        <f t="shared" si="23"/>
        <v>22</v>
      </c>
      <c r="GD35" s="319" t="s">
        <v>103</v>
      </c>
      <c r="GE35" s="319"/>
      <c r="GF35" s="346"/>
      <c r="GG35" s="346"/>
      <c r="GH35" s="346"/>
      <c r="GI35" s="631">
        <f>GI33</f>
        <v>16047555.198901001</v>
      </c>
      <c r="GJ35" s="545">
        <f>+GI35-GH35</f>
        <v>16047555.198901001</v>
      </c>
    </row>
    <row r="36" spans="1:192" ht="14.4" x14ac:dyDescent="0.3">
      <c r="A36" s="407">
        <f t="shared" si="5"/>
        <v>24</v>
      </c>
      <c r="B36" s="300" t="s">
        <v>23</v>
      </c>
      <c r="C36" s="1"/>
      <c r="D36" s="443"/>
      <c r="E36" s="443"/>
      <c r="F36" s="443"/>
      <c r="G36" s="443"/>
      <c r="H36" s="443"/>
      <c r="J36" s="156"/>
      <c r="K36" s="156"/>
      <c r="L36" s="156"/>
      <c r="M36" s="156"/>
      <c r="N36" s="156"/>
      <c r="O36" s="156"/>
      <c r="P36" s="156"/>
      <c r="AG36" s="407">
        <f t="shared" si="1"/>
        <v>23</v>
      </c>
      <c r="AH36" s="421" t="s">
        <v>139</v>
      </c>
      <c r="AN36" s="221"/>
      <c r="DT36" s="24"/>
      <c r="DU36" s="24"/>
      <c r="DV36" s="24"/>
      <c r="DW36" s="24"/>
      <c r="DX36" s="24"/>
      <c r="EJ36" s="14"/>
      <c r="EK36" s="14"/>
      <c r="EL36" s="14"/>
      <c r="EM36" s="14"/>
      <c r="EN36" s="14"/>
      <c r="FM36" s="266">
        <f t="shared" si="20"/>
        <v>23</v>
      </c>
      <c r="FN36" s="319" t="s">
        <v>334</v>
      </c>
      <c r="FO36" s="319"/>
      <c r="FP36" s="346"/>
      <c r="FQ36" s="346"/>
      <c r="FR36" s="346"/>
      <c r="FS36" s="346"/>
      <c r="FT36" s="346"/>
      <c r="FU36" s="7"/>
      <c r="FV36" s="14"/>
      <c r="FW36" s="14"/>
      <c r="FX36" s="14"/>
      <c r="FY36" s="14"/>
      <c r="FZ36" s="14"/>
      <c r="GA36" s="14"/>
      <c r="GB36" s="14"/>
      <c r="GC36" s="313">
        <f t="shared" si="23"/>
        <v>23</v>
      </c>
      <c r="GD36" s="319"/>
      <c r="GE36" s="319"/>
      <c r="GF36" s="346"/>
      <c r="GG36" s="346"/>
      <c r="GH36" s="346"/>
      <c r="GI36" s="631"/>
      <c r="GJ36" s="631"/>
    </row>
    <row r="37" spans="1:192" ht="14.4" x14ac:dyDescent="0.3">
      <c r="A37" s="407">
        <f t="shared" si="5"/>
        <v>25</v>
      </c>
      <c r="B37" s="344" t="s">
        <v>362</v>
      </c>
      <c r="C37" s="1"/>
      <c r="D37" s="665" t="s">
        <v>499</v>
      </c>
      <c r="E37" s="665"/>
      <c r="F37" s="443">
        <v>31779966.02</v>
      </c>
      <c r="G37" s="665" t="s">
        <v>499</v>
      </c>
      <c r="H37" s="443">
        <v>0</v>
      </c>
      <c r="I37" s="330"/>
      <c r="J37" s="156"/>
      <c r="K37" s="156"/>
      <c r="L37" s="156"/>
      <c r="M37" s="156"/>
      <c r="N37" s="156"/>
      <c r="O37" s="156"/>
      <c r="P37" s="156"/>
      <c r="AE37" s="221">
        <f>+AE36+AE35</f>
        <v>0</v>
      </c>
      <c r="AG37" s="407">
        <f t="shared" si="1"/>
        <v>24</v>
      </c>
      <c r="AH37" s="432" t="s">
        <v>131</v>
      </c>
      <c r="AJ37" s="221">
        <v>97087902.950000003</v>
      </c>
      <c r="AK37" s="221">
        <v>0</v>
      </c>
      <c r="AL37" s="221">
        <f t="shared" ref="AL37:AL46" si="40">AK37-AJ37</f>
        <v>-97087902.950000003</v>
      </c>
      <c r="AM37" s="221">
        <f t="shared" ref="AM37:AM46" si="41">+AK37</f>
        <v>0</v>
      </c>
      <c r="AN37" s="221">
        <f t="shared" ref="AN37:AN46" si="42">AM37-AK37</f>
        <v>0</v>
      </c>
      <c r="DU37" s="14"/>
      <c r="DV37" s="14"/>
      <c r="DW37" s="14"/>
      <c r="DX37" s="14"/>
      <c r="EJ37" s="14"/>
      <c r="EK37" s="14"/>
      <c r="EL37" s="14"/>
      <c r="EM37" s="14"/>
      <c r="EN37" s="14"/>
      <c r="FM37" s="266">
        <f t="shared" si="20"/>
        <v>24</v>
      </c>
      <c r="FN37" s="319" t="s">
        <v>128</v>
      </c>
      <c r="FO37" s="370">
        <v>0.21</v>
      </c>
      <c r="FP37" s="371"/>
      <c r="FQ37" s="371"/>
      <c r="FR37" s="371">
        <v>0</v>
      </c>
      <c r="FS37" s="371">
        <f>-$FO$37*FS35</f>
        <v>-1867203.7245126492</v>
      </c>
      <c r="FT37" s="371">
        <f>-$FO$37*FT35</f>
        <v>-1867203.7245126492</v>
      </c>
      <c r="FU37" s="7"/>
      <c r="FV37" s="14"/>
      <c r="FW37" s="14"/>
      <c r="FX37" s="14"/>
      <c r="FY37" s="14"/>
      <c r="FZ37" s="14"/>
      <c r="GA37" s="14"/>
      <c r="GB37" s="14"/>
      <c r="GC37" s="313">
        <f t="shared" si="23"/>
        <v>24</v>
      </c>
      <c r="GD37" s="319" t="s">
        <v>128</v>
      </c>
      <c r="GE37" s="370">
        <v>0.21</v>
      </c>
      <c r="GF37" s="371"/>
      <c r="GG37" s="371"/>
      <c r="GH37" s="371"/>
      <c r="GI37" s="649">
        <f>-GI35*GE37</f>
        <v>-3369986.5917692101</v>
      </c>
      <c r="GJ37" s="649">
        <f>+GI37-GH37</f>
        <v>-3369986.5917692101</v>
      </c>
    </row>
    <row r="38" spans="1:192" ht="15" thickBot="1" x14ac:dyDescent="0.35">
      <c r="A38" s="407">
        <f t="shared" si="5"/>
        <v>26</v>
      </c>
      <c r="B38" s="344" t="s">
        <v>368</v>
      </c>
      <c r="C38" s="521"/>
      <c r="D38" s="666"/>
      <c r="E38" s="666"/>
      <c r="F38" s="522">
        <v>-430100</v>
      </c>
      <c r="G38" s="666"/>
      <c r="H38" s="443">
        <v>0</v>
      </c>
      <c r="J38" s="156"/>
      <c r="K38" s="156"/>
      <c r="L38" s="156"/>
      <c r="M38" s="156"/>
      <c r="N38" s="156"/>
      <c r="O38" s="156"/>
      <c r="P38" s="156"/>
      <c r="AG38" s="407">
        <f t="shared" si="1"/>
        <v>25</v>
      </c>
      <c r="AH38" s="338" t="s">
        <v>210</v>
      </c>
      <c r="AJ38" s="221">
        <v>59265943.382832997</v>
      </c>
      <c r="AK38" s="221">
        <v>0</v>
      </c>
      <c r="AL38" s="221">
        <f t="shared" si="40"/>
        <v>-59265943.382832997</v>
      </c>
      <c r="AM38" s="221">
        <f t="shared" si="41"/>
        <v>0</v>
      </c>
      <c r="AN38" s="221">
        <f t="shared" si="42"/>
        <v>0</v>
      </c>
      <c r="DI38" s="175"/>
      <c r="DT38" s="200"/>
      <c r="DU38" s="200"/>
      <c r="DV38" s="200"/>
      <c r="DW38" s="200"/>
      <c r="DX38" s="200"/>
      <c r="EJ38" s="14"/>
      <c r="EK38" s="14"/>
      <c r="EL38" s="14"/>
      <c r="EM38" s="14"/>
      <c r="EN38" s="14"/>
      <c r="FM38" s="266">
        <f t="shared" si="20"/>
        <v>25</v>
      </c>
      <c r="FN38" s="319" t="s">
        <v>95</v>
      </c>
      <c r="FO38" s="319"/>
      <c r="FP38" s="352"/>
      <c r="FQ38" s="352"/>
      <c r="FR38" s="352"/>
      <c r="FS38" s="352">
        <f>-FS35-FS37</f>
        <v>-7024242.582690442</v>
      </c>
      <c r="FT38" s="352">
        <f>-FT35-FT37</f>
        <v>-7024242.582690442</v>
      </c>
      <c r="FU38" s="7"/>
      <c r="FV38" s="14"/>
      <c r="FW38" s="14"/>
      <c r="FX38" s="14"/>
      <c r="FY38" s="14"/>
      <c r="FZ38" s="14"/>
      <c r="GA38" s="14"/>
      <c r="GB38" s="14"/>
      <c r="GC38" s="313">
        <f t="shared" si="23"/>
        <v>25</v>
      </c>
      <c r="GD38" s="319" t="s">
        <v>95</v>
      </c>
      <c r="GE38" s="319"/>
      <c r="GF38" s="506">
        <f>-GF35-GF37</f>
        <v>0</v>
      </c>
      <c r="GG38" s="506">
        <f>-GG35-GG37</f>
        <v>0</v>
      </c>
      <c r="GH38" s="506">
        <f>-GH35-GH37</f>
        <v>0</v>
      </c>
      <c r="GI38" s="381">
        <f>-GI35-GI37</f>
        <v>-12677568.60713179</v>
      </c>
      <c r="GJ38" s="381">
        <f>-GJ35-GJ37</f>
        <v>-12677568.60713179</v>
      </c>
    </row>
    <row r="39" spans="1:192" ht="15" thickTop="1" x14ac:dyDescent="0.3">
      <c r="A39" s="407">
        <f t="shared" si="5"/>
        <v>27</v>
      </c>
      <c r="B39" s="344" t="s">
        <v>363</v>
      </c>
      <c r="C39" s="1"/>
      <c r="D39" s="346"/>
      <c r="E39" s="334"/>
      <c r="F39" s="346">
        <f>SUM(F37:F38)</f>
        <v>31349866.02</v>
      </c>
      <c r="G39" s="334"/>
      <c r="H39" s="334">
        <f>SUM(H37:H38)</f>
        <v>0</v>
      </c>
      <c r="J39" s="156"/>
      <c r="K39" s="156"/>
      <c r="L39" s="156"/>
      <c r="M39" s="156"/>
      <c r="N39" s="156"/>
      <c r="O39" s="156"/>
      <c r="P39" s="156"/>
      <c r="AG39" s="407">
        <f t="shared" si="1"/>
        <v>26</v>
      </c>
      <c r="AH39" s="523" t="s">
        <v>132</v>
      </c>
      <c r="AJ39" s="221">
        <v>82000442.209999993</v>
      </c>
      <c r="AK39" s="221">
        <v>0</v>
      </c>
      <c r="AL39" s="221">
        <f t="shared" si="40"/>
        <v>-82000442.209999993</v>
      </c>
      <c r="AM39" s="221">
        <f t="shared" si="41"/>
        <v>0</v>
      </c>
      <c r="AN39" s="221">
        <f t="shared" si="42"/>
        <v>0</v>
      </c>
      <c r="DI39" s="175"/>
      <c r="DU39" s="14"/>
      <c r="DV39" s="14"/>
      <c r="DW39" s="14"/>
      <c r="DX39" s="14"/>
      <c r="FM39" s="266">
        <f t="shared" si="20"/>
        <v>26</v>
      </c>
      <c r="FN39" s="14" t="s">
        <v>334</v>
      </c>
      <c r="FO39" s="14"/>
      <c r="FP39" s="511"/>
      <c r="FQ39" s="511"/>
      <c r="FR39" s="511"/>
      <c r="FS39" s="511"/>
      <c r="FT39" s="511"/>
      <c r="FU39" s="7"/>
      <c r="FV39" s="14"/>
      <c r="FW39" s="14"/>
      <c r="FX39" s="14"/>
      <c r="FY39" s="14"/>
      <c r="FZ39" s="14"/>
      <c r="GA39" s="14"/>
      <c r="GB39" s="14"/>
    </row>
    <row r="40" spans="1:192" ht="14.4" x14ac:dyDescent="0.3">
      <c r="A40" s="407">
        <f t="shared" si="5"/>
        <v>28</v>
      </c>
      <c r="B40" s="316"/>
      <c r="C40" s="1"/>
      <c r="D40" s="346"/>
      <c r="E40" s="346"/>
      <c r="F40" s="346"/>
      <c r="G40" s="346"/>
      <c r="H40" s="430"/>
      <c r="J40" s="156"/>
      <c r="K40" s="156"/>
      <c r="L40" s="156"/>
      <c r="M40" s="156"/>
      <c r="N40" s="156"/>
      <c r="O40" s="156"/>
      <c r="P40" s="156"/>
      <c r="AG40" s="407">
        <f t="shared" si="1"/>
        <v>27</v>
      </c>
      <c r="AH40" s="523" t="s">
        <v>133</v>
      </c>
      <c r="AJ40" s="221">
        <v>17158857.68</v>
      </c>
      <c r="AK40" s="221">
        <v>0</v>
      </c>
      <c r="AL40" s="221">
        <f t="shared" si="40"/>
        <v>-17158857.68</v>
      </c>
      <c r="AM40" s="221">
        <f t="shared" si="41"/>
        <v>0</v>
      </c>
      <c r="AN40" s="221">
        <f t="shared" si="42"/>
        <v>0</v>
      </c>
      <c r="DI40" s="175"/>
      <c r="DU40" s="14"/>
      <c r="DV40" s="14"/>
      <c r="DW40" s="14"/>
      <c r="DX40" s="14"/>
      <c r="FM40" s="266">
        <f t="shared" si="20"/>
        <v>27</v>
      </c>
      <c r="FN40" s="524" t="s">
        <v>503</v>
      </c>
      <c r="FO40" s="524"/>
      <c r="FP40" s="1"/>
      <c r="FQ40" s="1"/>
      <c r="FR40" s="1"/>
      <c r="FS40" s="1"/>
      <c r="FT40" s="1"/>
      <c r="FU40" s="7"/>
      <c r="FV40" s="14"/>
      <c r="FW40" s="14"/>
      <c r="FX40" s="14"/>
      <c r="FY40" s="14"/>
      <c r="FZ40" s="14"/>
      <c r="GA40" s="14"/>
      <c r="GB40" s="14"/>
    </row>
    <row r="41" spans="1:192" ht="14.4" x14ac:dyDescent="0.3">
      <c r="A41" s="407">
        <f t="shared" si="5"/>
        <v>29</v>
      </c>
      <c r="C41" s="1"/>
      <c r="D41" s="430"/>
      <c r="E41" s="430"/>
      <c r="F41" s="430"/>
      <c r="G41" s="430"/>
      <c r="H41" s="346"/>
      <c r="J41" s="156"/>
      <c r="K41" s="156"/>
      <c r="L41" s="156"/>
      <c r="M41" s="156"/>
      <c r="N41" s="156"/>
      <c r="O41" s="156"/>
      <c r="P41" s="156"/>
      <c r="AG41" s="407">
        <f t="shared" si="1"/>
        <v>28</v>
      </c>
      <c r="AH41" s="485" t="s">
        <v>134</v>
      </c>
      <c r="AJ41" s="221">
        <v>-77453659.510000005</v>
      </c>
      <c r="AK41" s="221">
        <v>0</v>
      </c>
      <c r="AL41" s="221">
        <f t="shared" si="40"/>
        <v>77453659.510000005</v>
      </c>
      <c r="AM41" s="221">
        <f t="shared" si="41"/>
        <v>0</v>
      </c>
      <c r="AN41" s="221">
        <f t="shared" si="42"/>
        <v>0</v>
      </c>
      <c r="DI41" s="175"/>
      <c r="DU41" s="14"/>
      <c r="DV41" s="14"/>
      <c r="DW41" s="14"/>
      <c r="DX41" s="14"/>
      <c r="FM41" s="266">
        <f t="shared" si="20"/>
        <v>28</v>
      </c>
      <c r="FN41" s="524" t="s">
        <v>504</v>
      </c>
      <c r="FO41" s="524"/>
      <c r="FP41" s="1"/>
      <c r="FQ41" s="1"/>
      <c r="FR41" s="1"/>
      <c r="FS41" s="1"/>
      <c r="FT41" s="1"/>
      <c r="FU41" s="7"/>
      <c r="FV41" s="14"/>
      <c r="FW41" s="14"/>
      <c r="FX41" s="14"/>
      <c r="FY41" s="14"/>
      <c r="FZ41" s="14"/>
      <c r="GA41" s="14"/>
      <c r="GB41" s="14"/>
    </row>
    <row r="42" spans="1:192" ht="14.4" x14ac:dyDescent="0.3">
      <c r="A42" s="407">
        <f t="shared" si="5"/>
        <v>30</v>
      </c>
      <c r="B42" s="325" t="s">
        <v>125</v>
      </c>
      <c r="C42" s="525">
        <f>+'COC, Def, ConvF'!M12</f>
        <v>8.4790000000000004E-3</v>
      </c>
      <c r="D42" s="443"/>
      <c r="E42" s="518"/>
      <c r="F42" s="518">
        <f>F32*$C$42</f>
        <v>373453.32075531798</v>
      </c>
      <c r="G42" s="518"/>
      <c r="H42" s="340">
        <f>H32*C42</f>
        <v>-289777.15111037</v>
      </c>
      <c r="J42" s="156"/>
      <c r="K42" s="156"/>
      <c r="L42" s="156"/>
      <c r="M42" s="156"/>
      <c r="N42" s="156"/>
      <c r="O42" s="156"/>
      <c r="P42" s="156"/>
      <c r="AG42" s="407">
        <f t="shared" si="1"/>
        <v>29</v>
      </c>
      <c r="AH42" s="485" t="s">
        <v>211</v>
      </c>
      <c r="AJ42" s="221">
        <v>-83311.960000000006</v>
      </c>
      <c r="AK42" s="221">
        <v>0</v>
      </c>
      <c r="AL42" s="221">
        <f t="shared" si="40"/>
        <v>83311.960000000006</v>
      </c>
      <c r="AM42" s="221">
        <f t="shared" si="41"/>
        <v>0</v>
      </c>
      <c r="AN42" s="221">
        <f t="shared" si="42"/>
        <v>0</v>
      </c>
      <c r="DU42" s="14"/>
      <c r="DV42" s="14"/>
      <c r="DW42" s="14"/>
      <c r="DX42" s="14"/>
      <c r="FM42" s="266">
        <f t="shared" si="20"/>
        <v>29</v>
      </c>
      <c r="FN42" s="524" t="s">
        <v>505</v>
      </c>
      <c r="FO42" s="524"/>
      <c r="FP42" s="14"/>
      <c r="FQ42" s="14"/>
      <c r="FR42" s="14"/>
      <c r="FS42" s="14"/>
      <c r="FT42" s="14"/>
      <c r="FU42" s="7"/>
      <c r="FV42" s="14"/>
      <c r="FW42" s="14"/>
      <c r="FX42" s="14"/>
      <c r="FY42" s="14"/>
      <c r="FZ42" s="14"/>
      <c r="GA42" s="14"/>
      <c r="GB42" s="14"/>
    </row>
    <row r="43" spans="1:192" ht="14.4" x14ac:dyDescent="0.3">
      <c r="A43" s="407">
        <f t="shared" si="5"/>
        <v>31</v>
      </c>
      <c r="B43" s="316" t="s">
        <v>126</v>
      </c>
      <c r="C43" s="525">
        <f>+'COC, Def, ConvF'!M13</f>
        <v>2E-3</v>
      </c>
      <c r="D43" s="443"/>
      <c r="E43" s="518"/>
      <c r="F43" s="518">
        <f>F32*$C$43</f>
        <v>88089.001239607955</v>
      </c>
      <c r="G43" s="518"/>
      <c r="H43" s="518">
        <f>H32*C43</f>
        <v>-68351.728060000009</v>
      </c>
      <c r="J43" s="156"/>
      <c r="K43" s="156"/>
      <c r="L43" s="156"/>
      <c r="M43" s="156"/>
      <c r="N43" s="156"/>
      <c r="O43" s="156"/>
      <c r="P43" s="156"/>
      <c r="AG43" s="407">
        <f t="shared" si="1"/>
        <v>30</v>
      </c>
      <c r="AH43" s="485" t="s">
        <v>557</v>
      </c>
      <c r="AJ43" s="221">
        <v>1459363.53</v>
      </c>
      <c r="AK43" s="221">
        <v>1459363.53</v>
      </c>
      <c r="AL43" s="221">
        <f t="shared" si="40"/>
        <v>0</v>
      </c>
      <c r="AM43" s="221">
        <f t="shared" si="41"/>
        <v>1459363.53</v>
      </c>
      <c r="AN43" s="221">
        <f t="shared" si="42"/>
        <v>0</v>
      </c>
      <c r="DU43" s="14"/>
      <c r="DV43" s="14"/>
      <c r="DW43" s="14"/>
      <c r="DX43" s="14"/>
      <c r="FM43" s="14"/>
      <c r="FN43" s="14"/>
      <c r="FO43" s="14"/>
      <c r="FP43" s="14"/>
      <c r="FQ43" s="14"/>
      <c r="FR43" s="14"/>
      <c r="FS43" s="14"/>
      <c r="FT43" s="14"/>
      <c r="FU43" s="7"/>
      <c r="FV43" s="14"/>
    </row>
    <row r="44" spans="1:192" ht="14.4" x14ac:dyDescent="0.3">
      <c r="A44" s="407">
        <f t="shared" si="5"/>
        <v>32</v>
      </c>
      <c r="B44" s="316" t="s">
        <v>365</v>
      </c>
      <c r="C44" s="199">
        <f>+'COC, Def, ConvF'!M14</f>
        <v>3.8406000000000003E-2</v>
      </c>
      <c r="D44" s="443"/>
      <c r="E44" s="522"/>
      <c r="F44" s="522">
        <f>(F32+F34)*$C$44</f>
        <v>1691573.0908041918</v>
      </c>
      <c r="G44" s="522"/>
      <c r="H44" s="522">
        <f>(H32+H34)*$C$44</f>
        <v>-1312558.2339361801</v>
      </c>
      <c r="J44" s="156"/>
      <c r="K44" s="156"/>
      <c r="L44" s="156"/>
      <c r="M44" s="156"/>
      <c r="N44" s="156"/>
      <c r="O44" s="156"/>
      <c r="P44" s="156"/>
      <c r="AG44" s="407">
        <f t="shared" si="1"/>
        <v>31</v>
      </c>
      <c r="AH44" s="373" t="s">
        <v>212</v>
      </c>
      <c r="AJ44" s="221">
        <v>964405.32000000007</v>
      </c>
      <c r="AK44" s="221">
        <v>0</v>
      </c>
      <c r="AL44" s="221">
        <f t="shared" si="40"/>
        <v>-964405.32000000007</v>
      </c>
      <c r="AM44" s="221">
        <f t="shared" si="41"/>
        <v>0</v>
      </c>
      <c r="AN44" s="221">
        <f t="shared" si="42"/>
        <v>0</v>
      </c>
      <c r="DU44" s="14"/>
      <c r="DV44" s="14"/>
      <c r="DW44" s="14"/>
      <c r="DX44" s="14"/>
      <c r="FU44" s="7"/>
      <c r="FV44" s="14"/>
    </row>
    <row r="45" spans="1:192" ht="14.4" x14ac:dyDescent="0.3">
      <c r="A45" s="407">
        <f t="shared" si="5"/>
        <v>33</v>
      </c>
      <c r="B45" s="338" t="s">
        <v>364</v>
      </c>
      <c r="C45" s="194"/>
      <c r="D45" s="526"/>
      <c r="E45" s="518"/>
      <c r="F45" s="518">
        <f>SUM(F42:F44)</f>
        <v>2153115.4127991176</v>
      </c>
      <c r="G45" s="518"/>
      <c r="H45" s="518">
        <f>SUM(H42:H44)</f>
        <v>-1670687.1131065502</v>
      </c>
      <c r="J45" s="156"/>
      <c r="K45" s="156"/>
      <c r="L45" s="156"/>
      <c r="M45" s="156"/>
      <c r="N45" s="156"/>
      <c r="O45" s="156"/>
      <c r="P45" s="156"/>
      <c r="AG45" s="407">
        <f t="shared" si="1"/>
        <v>32</v>
      </c>
      <c r="AH45" s="373" t="s">
        <v>140</v>
      </c>
      <c r="AJ45" s="221">
        <v>29354.23</v>
      </c>
      <c r="AK45" s="221">
        <v>0</v>
      </c>
      <c r="AL45" s="221">
        <f t="shared" si="40"/>
        <v>-29354.23</v>
      </c>
      <c r="AM45" s="221">
        <f t="shared" si="41"/>
        <v>0</v>
      </c>
      <c r="AN45" s="221">
        <f t="shared" si="42"/>
        <v>0</v>
      </c>
      <c r="DU45" s="14"/>
      <c r="DV45" s="14"/>
      <c r="DW45" s="14"/>
      <c r="DX45" s="14"/>
      <c r="FV45" s="14"/>
    </row>
    <row r="46" spans="1:192" ht="14.4" x14ac:dyDescent="0.3">
      <c r="A46" s="407">
        <f t="shared" si="5"/>
        <v>34</v>
      </c>
      <c r="C46" s="1"/>
      <c r="D46" s="518"/>
      <c r="E46" s="518"/>
      <c r="F46" s="518"/>
      <c r="G46" s="518"/>
      <c r="H46" s="346"/>
      <c r="J46" s="156"/>
      <c r="K46" s="156"/>
      <c r="L46" s="156"/>
      <c r="M46" s="156"/>
      <c r="N46" s="156"/>
      <c r="O46" s="156"/>
      <c r="P46" s="156"/>
      <c r="AG46" s="407">
        <f t="shared" si="1"/>
        <v>33</v>
      </c>
      <c r="AH46" s="373" t="s">
        <v>141</v>
      </c>
      <c r="AJ46" s="221">
        <v>7384.6</v>
      </c>
      <c r="AK46" s="221">
        <v>0</v>
      </c>
      <c r="AL46" s="221">
        <f t="shared" si="40"/>
        <v>-7384.6</v>
      </c>
      <c r="AM46" s="221">
        <f t="shared" si="41"/>
        <v>0</v>
      </c>
      <c r="AN46" s="221">
        <f t="shared" si="42"/>
        <v>0</v>
      </c>
      <c r="DU46" s="14"/>
      <c r="DV46" s="14"/>
      <c r="DW46" s="14"/>
      <c r="DX46" s="14"/>
      <c r="FV46" s="14"/>
    </row>
    <row r="47" spans="1:192" ht="14.4" x14ac:dyDescent="0.3">
      <c r="A47" s="407">
        <f t="shared" si="5"/>
        <v>35</v>
      </c>
      <c r="B47" s="316" t="s">
        <v>94</v>
      </c>
      <c r="C47" s="1"/>
      <c r="D47" s="340"/>
      <c r="E47" s="340"/>
      <c r="F47" s="340">
        <f>F32+F34-F39-F45</f>
        <v>10541519.187004862</v>
      </c>
      <c r="G47" s="340"/>
      <c r="H47" s="340">
        <f>H32+H34-H39-H45</f>
        <v>-32505176.916893452</v>
      </c>
      <c r="J47" s="156"/>
      <c r="K47" s="156"/>
      <c r="L47" s="156"/>
      <c r="M47" s="156"/>
      <c r="N47" s="156"/>
      <c r="O47" s="156"/>
      <c r="P47" s="156"/>
      <c r="AG47" s="407">
        <f t="shared" si="1"/>
        <v>34</v>
      </c>
      <c r="AH47" s="372"/>
      <c r="AJ47" s="334">
        <f>SUM(AJ37:AJ46)</f>
        <v>180436682.43283296</v>
      </c>
      <c r="AK47" s="334">
        <f>SUM(AK37:AK46)</f>
        <v>1459363.53</v>
      </c>
      <c r="AL47" s="334">
        <f>SUM(AL37:AL46)</f>
        <v>-178977318.90283296</v>
      </c>
      <c r="AM47" s="334">
        <f>SUM(AM37:AM46)</f>
        <v>1459363.53</v>
      </c>
      <c r="AN47" s="334">
        <f>SUM(AN37:AN46)</f>
        <v>0</v>
      </c>
      <c r="DU47" s="14"/>
      <c r="DV47" s="14"/>
      <c r="DW47" s="14"/>
      <c r="DX47" s="14"/>
      <c r="FV47" s="14"/>
    </row>
    <row r="48" spans="1:192" ht="14.4" x14ac:dyDescent="0.3">
      <c r="A48" s="407">
        <f t="shared" si="5"/>
        <v>36</v>
      </c>
      <c r="C48" s="1"/>
      <c r="D48" s="1"/>
      <c r="E48" s="1"/>
      <c r="F48" s="1"/>
      <c r="G48" s="1"/>
      <c r="H48" s="1"/>
      <c r="J48" s="156"/>
      <c r="K48" s="156"/>
      <c r="L48" s="156"/>
      <c r="M48" s="156"/>
      <c r="N48" s="156"/>
      <c r="O48" s="156"/>
      <c r="P48" s="156"/>
      <c r="AG48" s="407">
        <f t="shared" si="1"/>
        <v>35</v>
      </c>
      <c r="FV48" s="14"/>
    </row>
    <row r="49" spans="1:178" ht="14.4" x14ac:dyDescent="0.3">
      <c r="A49" s="407">
        <f t="shared" si="5"/>
        <v>37</v>
      </c>
      <c r="B49" s="1" t="s">
        <v>128</v>
      </c>
      <c r="C49" s="194">
        <f>+FIT_E</f>
        <v>0.21</v>
      </c>
      <c r="D49" s="191"/>
      <c r="E49" s="527"/>
      <c r="F49" s="527">
        <f>F47*$C$49</f>
        <v>2213719.029271021</v>
      </c>
      <c r="G49" s="467"/>
      <c r="H49" s="467">
        <f>H47*$C$49</f>
        <v>-6826087.1525476249</v>
      </c>
      <c r="J49" s="156"/>
      <c r="K49" s="156"/>
      <c r="L49" s="156"/>
      <c r="M49" s="156"/>
      <c r="N49" s="156"/>
      <c r="O49" s="156"/>
      <c r="P49" s="156"/>
      <c r="AG49" s="407">
        <f t="shared" si="1"/>
        <v>36</v>
      </c>
      <c r="AH49" s="372" t="s">
        <v>143</v>
      </c>
      <c r="AJ49" s="340">
        <f>+AJ28-AJ34-AJ47</f>
        <v>1016568.4049868584</v>
      </c>
      <c r="AK49" s="340">
        <f>+AK28-AK34-AK47</f>
        <v>-1459363.53</v>
      </c>
      <c r="AL49" s="340">
        <f>+AL28-AL34-AL47</f>
        <v>-2475931.9349868596</v>
      </c>
      <c r="AM49" s="340">
        <f>+AM28-AM34-AM47</f>
        <v>-1459363.53</v>
      </c>
      <c r="AN49" s="340">
        <f>AN28-AN34-AN47</f>
        <v>0</v>
      </c>
      <c r="FV49" s="14"/>
    </row>
    <row r="50" spans="1:178" ht="15" thickBot="1" x14ac:dyDescent="0.35">
      <c r="A50" s="407">
        <f t="shared" si="5"/>
        <v>38</v>
      </c>
      <c r="B50" s="6" t="s">
        <v>95</v>
      </c>
      <c r="D50" s="35"/>
      <c r="E50" s="35"/>
      <c r="F50" s="35">
        <f>F47-F49</f>
        <v>8327800.1577338409</v>
      </c>
      <c r="G50" s="35"/>
      <c r="H50" s="35">
        <f>H47-H49</f>
        <v>-25679089.764345828</v>
      </c>
      <c r="J50" s="156"/>
      <c r="K50" s="156"/>
      <c r="L50" s="156"/>
      <c r="M50" s="156"/>
      <c r="N50" s="156"/>
      <c r="O50" s="156"/>
      <c r="P50" s="156"/>
      <c r="AG50" s="407">
        <f t="shared" si="1"/>
        <v>37</v>
      </c>
      <c r="AH50" s="372" t="s">
        <v>116</v>
      </c>
      <c r="AI50" s="190">
        <f>FIT_E</f>
        <v>0.21</v>
      </c>
      <c r="AJ50" s="465">
        <f>AJ49*$AI$50</f>
        <v>213479.36504724025</v>
      </c>
      <c r="AK50" s="465">
        <f>AK49*$AI$50</f>
        <v>-306466.34129999997</v>
      </c>
      <c r="AL50" s="465">
        <f>AL49*$AI$50</f>
        <v>-519945.70634724048</v>
      </c>
      <c r="AM50" s="465">
        <f>AM49*$AI$50</f>
        <v>-306466.34129999997</v>
      </c>
      <c r="AN50" s="528">
        <f>AN49*$AI$50</f>
        <v>0</v>
      </c>
      <c r="FV50" s="14"/>
    </row>
    <row r="51" spans="1:178" ht="15.6" thickTop="1" thickBot="1" x14ac:dyDescent="0.35">
      <c r="A51" s="407">
        <f t="shared" si="5"/>
        <v>39</v>
      </c>
      <c r="J51" s="156"/>
      <c r="K51" s="156"/>
      <c r="L51" s="156"/>
      <c r="M51" s="156"/>
      <c r="N51" s="156"/>
      <c r="O51" s="156"/>
      <c r="P51" s="156"/>
      <c r="AG51" s="407">
        <f t="shared" si="1"/>
        <v>38</v>
      </c>
      <c r="AH51" s="372" t="s">
        <v>95</v>
      </c>
      <c r="AJ51" s="352">
        <f>AJ49-AJ50</f>
        <v>803089.03993961809</v>
      </c>
      <c r="AK51" s="352">
        <f>AK49-AK50</f>
        <v>-1152897.1887000001</v>
      </c>
      <c r="AL51" s="352">
        <f>AL49-AL50</f>
        <v>-1955986.228639619</v>
      </c>
      <c r="AM51" s="352">
        <f>AM49-AM50</f>
        <v>-1152897.1887000001</v>
      </c>
      <c r="AN51" s="352">
        <f>AN49-AN50</f>
        <v>0</v>
      </c>
      <c r="FV51" s="14"/>
    </row>
    <row r="52" spans="1:178" ht="15" thickTop="1" x14ac:dyDescent="0.3">
      <c r="A52" s="407">
        <f t="shared" si="5"/>
        <v>40</v>
      </c>
      <c r="B52" s="6" t="s">
        <v>537</v>
      </c>
      <c r="J52" s="156"/>
      <c r="K52" s="156"/>
      <c r="L52" s="156"/>
      <c r="M52" s="156"/>
      <c r="N52" s="156"/>
      <c r="O52" s="156"/>
      <c r="P52" s="156"/>
      <c r="FV52" s="14"/>
    </row>
    <row r="53" spans="1:178" ht="14.4" x14ac:dyDescent="0.3">
      <c r="A53" s="407">
        <f t="shared" si="5"/>
        <v>41</v>
      </c>
      <c r="B53" s="6" t="s">
        <v>538</v>
      </c>
      <c r="J53" s="156"/>
      <c r="K53" s="156"/>
      <c r="L53" s="156"/>
      <c r="M53" s="156"/>
      <c r="N53" s="156"/>
      <c r="O53" s="156"/>
      <c r="P53" s="156"/>
      <c r="FV53" s="14"/>
    </row>
    <row r="54" spans="1:178" ht="14.4" x14ac:dyDescent="0.3">
      <c r="A54" s="407"/>
      <c r="J54" s="156"/>
      <c r="K54" s="156"/>
      <c r="L54" s="156"/>
      <c r="M54" s="156"/>
      <c r="N54" s="156"/>
      <c r="O54" s="156"/>
      <c r="P54" s="156"/>
      <c r="FV54" s="14"/>
    </row>
    <row r="55" spans="1:178" ht="14.4" x14ac:dyDescent="0.3">
      <c r="I55" s="407"/>
      <c r="J55" s="156"/>
      <c r="K55" s="156"/>
      <c r="L55" s="156"/>
      <c r="M55" s="156"/>
      <c r="N55" s="156"/>
      <c r="O55" s="156"/>
      <c r="P55" s="156"/>
      <c r="FV55" s="14"/>
    </row>
    <row r="56" spans="1:178" ht="14.4" x14ac:dyDescent="0.3">
      <c r="I56" s="407"/>
      <c r="J56" s="156"/>
      <c r="K56" s="156"/>
      <c r="L56" s="156"/>
      <c r="M56" s="156"/>
      <c r="N56" s="156"/>
      <c r="O56" s="156"/>
      <c r="P56" s="156"/>
      <c r="FV56" s="14"/>
    </row>
    <row r="57" spans="1:178" ht="14.4" x14ac:dyDescent="0.3">
      <c r="I57" s="407"/>
      <c r="J57" s="156"/>
      <c r="K57" s="156"/>
      <c r="L57" s="156"/>
      <c r="M57" s="156"/>
      <c r="N57" s="156"/>
      <c r="O57" s="156"/>
      <c r="P57" s="156"/>
      <c r="CS57" s="7"/>
      <c r="FV57" s="14"/>
    </row>
    <row r="58" spans="1:178" ht="14.4" x14ac:dyDescent="0.3">
      <c r="B58" s="156"/>
      <c r="C58" s="156"/>
      <c r="D58" s="156"/>
      <c r="E58" s="156"/>
      <c r="F58" s="156"/>
      <c r="G58" s="156"/>
      <c r="H58" s="156"/>
      <c r="I58" s="407"/>
      <c r="J58" s="156"/>
      <c r="K58" s="156"/>
      <c r="L58" s="156"/>
      <c r="M58" s="156"/>
      <c r="N58" s="156"/>
      <c r="O58" s="156"/>
      <c r="P58" s="156"/>
      <c r="CS58" s="7"/>
      <c r="FV58" s="14"/>
    </row>
    <row r="59" spans="1:178" ht="14.4" x14ac:dyDescent="0.3">
      <c r="B59" s="156"/>
      <c r="C59" s="156"/>
      <c r="D59" s="156"/>
      <c r="E59" s="156"/>
      <c r="F59" s="156"/>
      <c r="G59" s="156"/>
      <c r="H59" s="156"/>
      <c r="I59" s="407"/>
      <c r="J59" s="156"/>
      <c r="K59" s="156"/>
      <c r="L59" s="156"/>
      <c r="M59" s="156"/>
      <c r="N59" s="156"/>
      <c r="O59" s="156"/>
      <c r="P59" s="156"/>
      <c r="FV59" s="14"/>
    </row>
    <row r="60" spans="1:178" ht="14.4" x14ac:dyDescent="0.3">
      <c r="B60" s="156"/>
      <c r="C60" s="156"/>
      <c r="D60" s="156"/>
      <c r="E60" s="156"/>
      <c r="F60" s="156"/>
      <c r="G60" s="156"/>
      <c r="H60" s="156"/>
      <c r="I60" s="407"/>
      <c r="J60" s="156"/>
      <c r="K60" s="156"/>
      <c r="L60" s="156"/>
      <c r="M60" s="156"/>
      <c r="N60" s="156"/>
      <c r="O60" s="156"/>
      <c r="P60" s="156"/>
    </row>
    <row r="61" spans="1:178" ht="14.4" x14ac:dyDescent="0.3">
      <c r="B61" s="156"/>
      <c r="C61" s="156"/>
      <c r="D61" s="156"/>
      <c r="E61" s="156"/>
      <c r="F61" s="156"/>
      <c r="G61" s="156"/>
      <c r="H61" s="156"/>
      <c r="I61" s="407"/>
      <c r="J61" s="156"/>
      <c r="K61" s="156"/>
      <c r="L61" s="156"/>
      <c r="M61" s="156"/>
      <c r="N61" s="156"/>
      <c r="O61" s="156"/>
      <c r="P61" s="156"/>
    </row>
    <row r="62" spans="1:178" ht="14.4" x14ac:dyDescent="0.3">
      <c r="B62" s="156"/>
      <c r="C62" s="156"/>
      <c r="D62" s="156"/>
      <c r="E62" s="156"/>
      <c r="F62" s="156"/>
      <c r="G62" s="156"/>
      <c r="H62" s="156"/>
      <c r="I62" s="407"/>
      <c r="J62" s="156"/>
      <c r="K62" s="156"/>
      <c r="L62" s="156"/>
      <c r="M62" s="156"/>
      <c r="N62" s="156"/>
      <c r="O62" s="156"/>
      <c r="P62" s="156"/>
    </row>
    <row r="63" spans="1:178" ht="14.4" x14ac:dyDescent="0.3">
      <c r="B63" s="156"/>
      <c r="C63" s="156"/>
      <c r="D63" s="156"/>
      <c r="E63" s="156"/>
      <c r="F63" s="156"/>
      <c r="G63" s="156"/>
      <c r="H63" s="156"/>
      <c r="J63" s="156"/>
      <c r="K63" s="156"/>
      <c r="L63" s="156"/>
      <c r="M63" s="156"/>
      <c r="N63" s="156"/>
      <c r="O63" s="156"/>
      <c r="P63" s="156"/>
    </row>
    <row r="64" spans="1:178" ht="14.4" x14ac:dyDescent="0.3">
      <c r="B64" s="156"/>
      <c r="C64" s="156"/>
      <c r="D64" s="156"/>
      <c r="E64" s="156"/>
      <c r="F64" s="156"/>
      <c r="G64" s="156"/>
      <c r="H64" s="156"/>
      <c r="J64" s="156"/>
      <c r="K64" s="156"/>
      <c r="L64" s="156"/>
      <c r="M64" s="156"/>
      <c r="N64" s="156"/>
      <c r="O64" s="156"/>
      <c r="P64" s="156"/>
    </row>
    <row r="65" spans="2:16" ht="14.4" x14ac:dyDescent="0.3">
      <c r="B65" s="156"/>
      <c r="C65" s="156"/>
      <c r="D65" s="156"/>
      <c r="E65" s="156"/>
      <c r="F65" s="156"/>
      <c r="G65" s="156"/>
      <c r="H65" s="156"/>
      <c r="J65" s="156"/>
      <c r="K65" s="156"/>
      <c r="L65" s="156"/>
      <c r="M65" s="156"/>
      <c r="N65" s="156"/>
      <c r="O65" s="156"/>
      <c r="P65" s="156"/>
    </row>
    <row r="66" spans="2:16" ht="14.4" x14ac:dyDescent="0.3">
      <c r="B66" s="156"/>
      <c r="C66" s="156"/>
      <c r="D66" s="156"/>
      <c r="E66" s="156"/>
      <c r="F66" s="156"/>
      <c r="G66" s="156"/>
      <c r="H66" s="156"/>
      <c r="J66" s="156"/>
      <c r="K66" s="156"/>
      <c r="L66" s="156"/>
      <c r="M66" s="156"/>
      <c r="N66" s="156"/>
      <c r="O66" s="156"/>
      <c r="P66" s="156"/>
    </row>
    <row r="67" spans="2:16" ht="14.4" x14ac:dyDescent="0.3">
      <c r="B67" s="156"/>
      <c r="C67" s="156"/>
      <c r="D67" s="156"/>
      <c r="E67" s="156"/>
      <c r="F67" s="156"/>
      <c r="G67" s="156"/>
      <c r="H67" s="156"/>
      <c r="J67" s="156"/>
      <c r="K67" s="156"/>
      <c r="L67" s="156"/>
      <c r="M67" s="156"/>
      <c r="N67" s="156"/>
      <c r="O67" s="156"/>
      <c r="P67" s="156"/>
    </row>
    <row r="68" spans="2:16" ht="14.4" x14ac:dyDescent="0.3">
      <c r="B68" s="156"/>
      <c r="C68" s="156"/>
      <c r="D68" s="156"/>
      <c r="E68" s="156"/>
      <c r="F68" s="156"/>
      <c r="G68" s="156"/>
      <c r="H68" s="156"/>
      <c r="J68" s="156"/>
      <c r="K68" s="156"/>
      <c r="L68" s="156"/>
      <c r="M68" s="156"/>
      <c r="N68" s="156"/>
      <c r="O68" s="156"/>
      <c r="P68" s="156"/>
    </row>
    <row r="69" spans="2:16" ht="14.4" x14ac:dyDescent="0.3">
      <c r="B69" s="156"/>
      <c r="C69" s="156"/>
      <c r="D69" s="156"/>
      <c r="E69" s="156"/>
      <c r="F69" s="156"/>
      <c r="G69" s="156"/>
      <c r="H69" s="156"/>
      <c r="J69" s="156"/>
      <c r="K69" s="156"/>
      <c r="L69" s="156"/>
      <c r="M69" s="156"/>
      <c r="N69" s="156"/>
      <c r="O69" s="156"/>
      <c r="P69" s="156"/>
    </row>
    <row r="70" spans="2:16" ht="14.4" x14ac:dyDescent="0.3">
      <c r="B70" s="156"/>
      <c r="C70" s="156"/>
      <c r="D70" s="156"/>
      <c r="E70" s="156"/>
      <c r="F70" s="156"/>
      <c r="G70" s="156"/>
      <c r="H70" s="156"/>
      <c r="J70" s="156"/>
      <c r="K70" s="156"/>
      <c r="L70" s="156"/>
      <c r="M70" s="156"/>
      <c r="N70" s="156"/>
      <c r="O70" s="156"/>
      <c r="P70" s="156"/>
    </row>
    <row r="71" spans="2:16" ht="14.4" x14ac:dyDescent="0.3">
      <c r="B71" s="156"/>
      <c r="C71" s="156"/>
      <c r="D71" s="156"/>
      <c r="E71" s="156"/>
      <c r="F71" s="156"/>
      <c r="G71" s="156"/>
      <c r="H71" s="156"/>
      <c r="J71" s="156"/>
      <c r="K71" s="156"/>
      <c r="L71" s="156"/>
      <c r="M71" s="156"/>
      <c r="N71" s="156"/>
      <c r="O71" s="156"/>
      <c r="P71" s="156"/>
    </row>
    <row r="72" spans="2:16" ht="14.4" x14ac:dyDescent="0.3">
      <c r="B72" s="156"/>
      <c r="C72" s="156"/>
      <c r="D72" s="156"/>
      <c r="E72" s="156"/>
      <c r="F72" s="156"/>
      <c r="G72" s="156"/>
      <c r="H72" s="156"/>
      <c r="J72" s="156"/>
      <c r="K72" s="156"/>
      <c r="L72" s="156"/>
      <c r="M72" s="156"/>
      <c r="N72" s="156"/>
      <c r="O72" s="156"/>
      <c r="P72" s="156"/>
    </row>
    <row r="73" spans="2:16" ht="14.4" x14ac:dyDescent="0.3">
      <c r="B73" s="156"/>
      <c r="C73" s="156"/>
      <c r="D73" s="156"/>
      <c r="E73" s="156"/>
      <c r="F73" s="156"/>
      <c r="G73" s="156"/>
      <c r="H73" s="156"/>
      <c r="J73" s="156"/>
      <c r="K73" s="156"/>
      <c r="L73" s="156"/>
      <c r="M73" s="156"/>
      <c r="N73" s="156"/>
      <c r="O73" s="156"/>
      <c r="P73" s="156"/>
    </row>
    <row r="74" spans="2:16" ht="14.4" x14ac:dyDescent="0.3">
      <c r="B74" s="156"/>
      <c r="C74" s="156"/>
      <c r="D74" s="156"/>
      <c r="E74" s="156"/>
      <c r="F74" s="156"/>
      <c r="G74" s="156"/>
      <c r="H74" s="156"/>
      <c r="J74" s="156"/>
      <c r="K74" s="156"/>
      <c r="L74" s="156"/>
      <c r="M74" s="156"/>
      <c r="N74" s="156"/>
      <c r="O74" s="156"/>
      <c r="P74" s="156"/>
    </row>
    <row r="75" spans="2:16" ht="14.4" x14ac:dyDescent="0.3">
      <c r="B75" s="156"/>
      <c r="C75" s="156"/>
      <c r="D75" s="156"/>
      <c r="E75" s="156"/>
      <c r="F75" s="156"/>
      <c r="G75" s="156"/>
      <c r="H75" s="156"/>
      <c r="J75" s="156"/>
      <c r="K75" s="156"/>
      <c r="L75" s="156"/>
      <c r="M75" s="156"/>
      <c r="N75" s="156"/>
      <c r="O75" s="156"/>
      <c r="P75" s="156"/>
    </row>
    <row r="76" spans="2:16" ht="14.4" x14ac:dyDescent="0.3">
      <c r="B76" s="156"/>
      <c r="C76" s="156"/>
      <c r="D76" s="156"/>
      <c r="E76" s="156"/>
      <c r="F76" s="156"/>
      <c r="G76" s="156"/>
      <c r="H76" s="156"/>
      <c r="J76" s="156"/>
      <c r="K76" s="156"/>
      <c r="L76" s="156"/>
      <c r="M76" s="156"/>
      <c r="N76" s="156"/>
      <c r="O76" s="156"/>
      <c r="P76" s="156"/>
    </row>
    <row r="77" spans="2:16" ht="14.4" x14ac:dyDescent="0.3">
      <c r="B77" s="156"/>
      <c r="C77" s="156"/>
      <c r="D77" s="156"/>
      <c r="E77" s="156"/>
      <c r="F77" s="156"/>
      <c r="G77" s="156"/>
      <c r="H77" s="156"/>
      <c r="J77" s="156"/>
      <c r="K77" s="156"/>
      <c r="L77" s="156"/>
      <c r="M77" s="156"/>
      <c r="N77" s="156"/>
      <c r="O77" s="156"/>
      <c r="P77" s="156"/>
    </row>
    <row r="78" spans="2:16" ht="14.4" x14ac:dyDescent="0.3">
      <c r="B78" s="156"/>
      <c r="C78" s="156"/>
      <c r="D78" s="156"/>
      <c r="E78" s="156"/>
      <c r="F78" s="156"/>
      <c r="G78" s="156"/>
      <c r="H78" s="156"/>
      <c r="J78" s="156"/>
      <c r="K78" s="156"/>
      <c r="L78" s="156"/>
      <c r="M78" s="156"/>
      <c r="N78" s="156"/>
      <c r="O78" s="156"/>
      <c r="P78" s="156"/>
    </row>
    <row r="79" spans="2:16" ht="14.4" x14ac:dyDescent="0.3">
      <c r="B79" s="156"/>
      <c r="C79" s="156"/>
      <c r="D79" s="156"/>
      <c r="E79" s="156"/>
      <c r="F79" s="156"/>
      <c r="G79" s="156"/>
      <c r="H79" s="156"/>
      <c r="J79" s="156"/>
      <c r="K79" s="156"/>
      <c r="L79" s="156"/>
      <c r="M79" s="156"/>
      <c r="N79" s="156"/>
      <c r="O79" s="156"/>
      <c r="P79" s="156"/>
    </row>
    <row r="80" spans="2:16" ht="14.4" x14ac:dyDescent="0.3">
      <c r="B80" s="156"/>
      <c r="C80" s="156"/>
      <c r="D80" s="156"/>
      <c r="E80" s="156"/>
      <c r="F80" s="156"/>
      <c r="G80" s="156"/>
      <c r="H80" s="156"/>
      <c r="J80" s="156"/>
      <c r="K80" s="156"/>
      <c r="L80" s="156"/>
      <c r="M80" s="156"/>
      <c r="N80" s="156"/>
      <c r="O80" s="156"/>
      <c r="P80" s="156"/>
    </row>
    <row r="81" spans="2:16" ht="14.4" x14ac:dyDescent="0.3">
      <c r="B81" s="156"/>
      <c r="C81" s="156"/>
      <c r="D81" s="156"/>
      <c r="E81" s="156"/>
      <c r="F81" s="156"/>
      <c r="G81" s="156"/>
      <c r="H81" s="156"/>
      <c r="J81" s="156"/>
      <c r="K81" s="156"/>
      <c r="L81" s="156"/>
      <c r="M81" s="156"/>
      <c r="N81" s="156"/>
      <c r="O81" s="156"/>
      <c r="P81" s="156"/>
    </row>
    <row r="82" spans="2:16" ht="14.4" x14ac:dyDescent="0.3">
      <c r="B82" s="156"/>
      <c r="C82" s="156"/>
      <c r="D82" s="156"/>
      <c r="E82" s="156"/>
      <c r="F82" s="156"/>
      <c r="G82" s="156"/>
      <c r="H82" s="156"/>
      <c r="J82" s="156"/>
      <c r="K82" s="156"/>
      <c r="L82" s="156"/>
      <c r="M82" s="156"/>
      <c r="N82" s="156"/>
      <c r="O82" s="156"/>
      <c r="P82" s="156"/>
    </row>
    <row r="83" spans="2:16" ht="14.4" x14ac:dyDescent="0.3">
      <c r="B83" s="156"/>
      <c r="C83" s="156"/>
      <c r="D83" s="156"/>
      <c r="E83" s="156"/>
      <c r="F83" s="156"/>
      <c r="G83" s="156"/>
      <c r="H83" s="156"/>
      <c r="J83" s="156"/>
      <c r="K83" s="156"/>
      <c r="L83" s="156"/>
      <c r="M83" s="156"/>
      <c r="N83" s="156"/>
      <c r="O83" s="156"/>
      <c r="P83" s="156"/>
    </row>
    <row r="84" spans="2:16" ht="14.4" x14ac:dyDescent="0.3">
      <c r="B84" s="156"/>
      <c r="C84" s="156"/>
      <c r="D84" s="156"/>
      <c r="E84" s="156"/>
      <c r="F84" s="156"/>
      <c r="G84" s="156"/>
      <c r="H84" s="156"/>
      <c r="J84" s="156"/>
      <c r="K84" s="156"/>
      <c r="L84" s="156"/>
      <c r="M84" s="156"/>
      <c r="N84" s="156"/>
      <c r="O84" s="156"/>
      <c r="P84" s="156"/>
    </row>
    <row r="85" spans="2:16" ht="14.4" x14ac:dyDescent="0.3">
      <c r="B85" s="156"/>
      <c r="C85" s="156"/>
      <c r="D85" s="156"/>
      <c r="E85" s="156"/>
      <c r="F85" s="156"/>
      <c r="G85" s="156"/>
      <c r="H85" s="156"/>
      <c r="J85" s="156"/>
      <c r="K85" s="156"/>
      <c r="L85" s="156"/>
      <c r="M85" s="156"/>
      <c r="N85" s="156"/>
      <c r="O85" s="156"/>
      <c r="P85" s="156"/>
    </row>
    <row r="86" spans="2:16" ht="14.4" x14ac:dyDescent="0.3">
      <c r="B86" s="156"/>
      <c r="C86" s="156"/>
      <c r="D86" s="156"/>
      <c r="E86" s="156"/>
      <c r="F86" s="156"/>
      <c r="G86" s="156"/>
      <c r="H86" s="156"/>
      <c r="J86" s="156"/>
      <c r="K86" s="156"/>
      <c r="L86" s="156"/>
      <c r="M86" s="156"/>
      <c r="N86" s="156"/>
      <c r="O86" s="156"/>
      <c r="P86" s="156"/>
    </row>
    <row r="87" spans="2:16" ht="14.4" x14ac:dyDescent="0.3">
      <c r="B87" s="156"/>
      <c r="C87" s="156"/>
      <c r="D87" s="156"/>
      <c r="E87" s="156"/>
      <c r="F87" s="156"/>
      <c r="G87" s="156"/>
      <c r="H87" s="156"/>
      <c r="J87" s="156"/>
      <c r="K87" s="156"/>
      <c r="L87" s="156"/>
      <c r="M87" s="156"/>
      <c r="N87" s="156"/>
      <c r="O87" s="156"/>
      <c r="P87" s="156"/>
    </row>
    <row r="88" spans="2:16" ht="14.4" x14ac:dyDescent="0.3">
      <c r="B88" s="156"/>
      <c r="C88" s="156"/>
      <c r="D88" s="156"/>
      <c r="E88" s="156"/>
      <c r="F88" s="156"/>
      <c r="G88" s="156"/>
      <c r="H88" s="156"/>
      <c r="J88" s="156"/>
      <c r="K88" s="156"/>
      <c r="L88" s="156"/>
      <c r="M88" s="156"/>
      <c r="N88" s="156"/>
      <c r="O88" s="156"/>
      <c r="P88" s="156"/>
    </row>
    <row r="89" spans="2:16" ht="14.4" x14ac:dyDescent="0.3">
      <c r="B89" s="156"/>
      <c r="C89" s="156"/>
      <c r="D89" s="156"/>
      <c r="E89" s="156"/>
      <c r="F89" s="156"/>
      <c r="G89" s="156"/>
      <c r="H89" s="156"/>
      <c r="J89" s="156"/>
      <c r="K89" s="156"/>
      <c r="L89" s="156"/>
      <c r="M89" s="156"/>
      <c r="N89" s="156"/>
      <c r="O89" s="156"/>
      <c r="P89" s="156"/>
    </row>
    <row r="90" spans="2:16" ht="14.4" x14ac:dyDescent="0.3">
      <c r="B90" s="156"/>
      <c r="C90" s="156"/>
      <c r="D90" s="156"/>
      <c r="E90" s="156"/>
      <c r="F90" s="156"/>
      <c r="G90" s="156"/>
      <c r="H90" s="156"/>
      <c r="J90" s="156"/>
      <c r="K90" s="156"/>
      <c r="L90" s="156"/>
      <c r="M90" s="156"/>
      <c r="N90" s="156"/>
      <c r="O90" s="156"/>
      <c r="P90" s="156"/>
    </row>
    <row r="91" spans="2:16" ht="14.4" x14ac:dyDescent="0.3">
      <c r="B91" s="156"/>
      <c r="C91" s="156"/>
      <c r="D91" s="156"/>
      <c r="E91" s="156"/>
      <c r="F91" s="156"/>
      <c r="G91" s="156"/>
      <c r="H91" s="156"/>
      <c r="J91" s="156"/>
      <c r="K91" s="156"/>
      <c r="L91" s="156"/>
      <c r="M91" s="156"/>
      <c r="N91" s="156"/>
      <c r="O91" s="156"/>
      <c r="P91" s="156"/>
    </row>
    <row r="92" spans="2:16" ht="14.4" x14ac:dyDescent="0.3">
      <c r="B92" s="156"/>
      <c r="C92" s="156"/>
      <c r="D92" s="156"/>
      <c r="E92" s="156"/>
      <c r="F92" s="156"/>
      <c r="G92" s="156"/>
      <c r="H92" s="156"/>
      <c r="J92" s="156"/>
      <c r="K92" s="156"/>
      <c r="L92" s="156"/>
      <c r="M92" s="156"/>
      <c r="N92" s="156"/>
      <c r="O92" s="156"/>
      <c r="P92" s="156"/>
    </row>
    <row r="93" spans="2:16" ht="14.4" x14ac:dyDescent="0.3">
      <c r="B93" s="156"/>
      <c r="C93" s="156"/>
      <c r="D93" s="156"/>
      <c r="E93" s="156"/>
      <c r="F93" s="156"/>
      <c r="G93" s="156"/>
      <c r="H93" s="156"/>
      <c r="J93" s="156"/>
      <c r="K93" s="156"/>
      <c r="L93" s="156"/>
      <c r="M93" s="156"/>
      <c r="N93" s="156"/>
      <c r="O93" s="156"/>
      <c r="P93" s="156"/>
    </row>
    <row r="94" spans="2:16" ht="14.4" x14ac:dyDescent="0.3">
      <c r="B94" s="156"/>
      <c r="C94" s="156"/>
      <c r="D94" s="156"/>
      <c r="E94" s="156"/>
      <c r="F94" s="156"/>
      <c r="G94" s="156"/>
      <c r="H94" s="156"/>
      <c r="J94" s="156"/>
      <c r="K94" s="156"/>
      <c r="L94" s="156"/>
      <c r="M94" s="156"/>
      <c r="N94" s="156"/>
      <c r="O94" s="156"/>
      <c r="P94" s="156"/>
    </row>
    <row r="95" spans="2:16" ht="14.4" x14ac:dyDescent="0.3">
      <c r="B95" s="156"/>
      <c r="C95" s="156"/>
      <c r="D95" s="156"/>
      <c r="E95" s="156"/>
      <c r="F95" s="156"/>
      <c r="G95" s="156"/>
      <c r="H95" s="156"/>
      <c r="J95" s="156"/>
      <c r="K95" s="156"/>
      <c r="L95" s="156"/>
      <c r="M95" s="156"/>
      <c r="N95" s="156"/>
      <c r="O95" s="156"/>
      <c r="P95" s="156"/>
    </row>
    <row r="96" spans="2:16" ht="14.4" x14ac:dyDescent="0.3">
      <c r="B96" s="156"/>
      <c r="C96" s="156"/>
      <c r="D96" s="156"/>
      <c r="E96" s="156"/>
      <c r="F96" s="156"/>
      <c r="G96" s="156"/>
      <c r="H96" s="156"/>
      <c r="J96" s="156"/>
      <c r="K96" s="156"/>
      <c r="L96" s="156"/>
      <c r="M96" s="156"/>
      <c r="N96" s="156"/>
      <c r="O96" s="156"/>
      <c r="P96" s="156"/>
    </row>
    <row r="97" spans="1:16" ht="14.4" x14ac:dyDescent="0.3">
      <c r="B97" s="156"/>
      <c r="C97" s="156"/>
      <c r="D97" s="156"/>
      <c r="E97" s="156"/>
      <c r="F97" s="156"/>
      <c r="G97" s="156"/>
      <c r="H97" s="156"/>
      <c r="J97" s="156"/>
      <c r="K97" s="156"/>
      <c r="L97" s="156"/>
      <c r="M97" s="156"/>
      <c r="N97" s="156"/>
      <c r="O97" s="156"/>
      <c r="P97" s="156"/>
    </row>
    <row r="98" spans="1:16" ht="14.4" x14ac:dyDescent="0.3">
      <c r="B98" s="156"/>
      <c r="C98" s="156"/>
      <c r="D98" s="156"/>
      <c r="E98" s="156"/>
      <c r="F98" s="156"/>
      <c r="G98" s="156"/>
      <c r="H98" s="156"/>
      <c r="J98" s="156"/>
      <c r="K98" s="156"/>
      <c r="L98" s="156"/>
      <c r="M98" s="156"/>
      <c r="N98" s="156"/>
      <c r="O98" s="156"/>
      <c r="P98" s="156"/>
    </row>
    <row r="99" spans="1:16" ht="14.4" x14ac:dyDescent="0.3">
      <c r="B99" s="156"/>
      <c r="C99" s="156"/>
      <c r="D99" s="156"/>
      <c r="E99" s="156"/>
      <c r="F99" s="156"/>
      <c r="G99" s="156"/>
      <c r="H99" s="156"/>
      <c r="J99" s="156"/>
      <c r="K99" s="156"/>
      <c r="L99" s="156"/>
      <c r="M99" s="156"/>
      <c r="N99" s="156"/>
      <c r="O99" s="156"/>
      <c r="P99" s="156"/>
    </row>
    <row r="100" spans="1:16" ht="14.4" x14ac:dyDescent="0.3">
      <c r="B100" s="156"/>
      <c r="C100" s="156"/>
      <c r="D100" s="156"/>
      <c r="E100" s="156"/>
      <c r="F100" s="156"/>
      <c r="G100" s="156"/>
      <c r="H100" s="156"/>
      <c r="J100" s="156"/>
      <c r="K100" s="156"/>
      <c r="L100" s="156"/>
      <c r="M100" s="156"/>
      <c r="N100" s="156"/>
      <c r="O100" s="156"/>
      <c r="P100" s="156"/>
    </row>
    <row r="101" spans="1:16" ht="14.4" x14ac:dyDescent="0.3">
      <c r="A101" s="411"/>
      <c r="B101" s="156"/>
      <c r="C101" s="156"/>
      <c r="D101" s="156"/>
      <c r="E101" s="156"/>
      <c r="F101" s="156"/>
      <c r="G101" s="156"/>
      <c r="H101" s="156"/>
      <c r="J101" s="156"/>
      <c r="K101" s="156"/>
      <c r="L101" s="156"/>
      <c r="M101" s="156"/>
      <c r="N101" s="156"/>
      <c r="O101" s="156"/>
      <c r="P101" s="156"/>
    </row>
    <row r="102" spans="1:16" ht="14.4" x14ac:dyDescent="0.3">
      <c r="A102" s="443"/>
      <c r="B102" s="156"/>
      <c r="C102" s="156"/>
      <c r="D102" s="156"/>
      <c r="E102" s="156"/>
      <c r="F102" s="156"/>
      <c r="G102" s="156"/>
      <c r="H102" s="156"/>
      <c r="J102" s="156"/>
      <c r="K102" s="156"/>
      <c r="L102" s="156"/>
      <c r="M102" s="156"/>
      <c r="N102" s="156"/>
      <c r="O102" s="156"/>
      <c r="P102" s="156"/>
    </row>
    <row r="103" spans="1:16" ht="14.4" x14ac:dyDescent="0.3">
      <c r="A103" s="340"/>
      <c r="B103" s="156"/>
      <c r="C103" s="156"/>
      <c r="D103" s="156"/>
      <c r="E103" s="156"/>
      <c r="F103" s="156"/>
      <c r="G103" s="156"/>
      <c r="H103" s="156"/>
      <c r="J103" s="156"/>
      <c r="K103" s="156"/>
      <c r="L103" s="156"/>
      <c r="M103" s="156"/>
      <c r="N103" s="156"/>
      <c r="O103" s="156"/>
      <c r="P103" s="156"/>
    </row>
    <row r="104" spans="1:16" ht="14.4" x14ac:dyDescent="0.3">
      <c r="B104" s="156"/>
      <c r="C104" s="156"/>
      <c r="D104" s="156"/>
      <c r="E104" s="156"/>
      <c r="F104" s="156"/>
      <c r="G104" s="156"/>
      <c r="H104" s="156"/>
      <c r="J104" s="156"/>
      <c r="K104" s="156"/>
      <c r="L104" s="156"/>
      <c r="M104" s="156"/>
      <c r="N104" s="156"/>
      <c r="O104" s="156"/>
      <c r="P104" s="156"/>
    </row>
    <row r="105" spans="1:16" ht="14.4" x14ac:dyDescent="0.3">
      <c r="B105" s="156"/>
      <c r="C105" s="156"/>
      <c r="D105" s="156"/>
      <c r="E105" s="156"/>
      <c r="F105" s="156"/>
      <c r="G105" s="156"/>
      <c r="H105" s="156"/>
      <c r="J105" s="156"/>
      <c r="K105" s="156"/>
      <c r="L105" s="156"/>
      <c r="M105" s="156"/>
      <c r="N105" s="156"/>
      <c r="O105" s="156"/>
      <c r="P105" s="156"/>
    </row>
    <row r="106" spans="1:16" ht="14.4" x14ac:dyDescent="0.3">
      <c r="B106" s="156"/>
      <c r="C106" s="156"/>
      <c r="D106" s="156"/>
      <c r="E106" s="156"/>
      <c r="F106" s="156"/>
      <c r="G106" s="156"/>
      <c r="H106" s="156"/>
      <c r="J106" s="156"/>
      <c r="K106" s="156"/>
      <c r="L106" s="156"/>
      <c r="M106" s="156"/>
      <c r="N106" s="156"/>
      <c r="O106" s="156"/>
      <c r="P106" s="156"/>
    </row>
    <row r="107" spans="1:16" ht="14.4" x14ac:dyDescent="0.3">
      <c r="B107" s="156"/>
      <c r="C107" s="156"/>
      <c r="D107" s="156"/>
      <c r="E107" s="156"/>
      <c r="F107" s="156"/>
      <c r="G107" s="156"/>
      <c r="H107" s="156"/>
      <c r="J107" s="156"/>
      <c r="K107" s="156"/>
      <c r="L107" s="156"/>
      <c r="M107" s="156"/>
      <c r="N107" s="156"/>
      <c r="O107" s="156"/>
      <c r="P107" s="156"/>
    </row>
    <row r="108" spans="1:16" ht="14.4" x14ac:dyDescent="0.3">
      <c r="B108" s="156"/>
      <c r="C108" s="156"/>
      <c r="D108" s="156"/>
      <c r="E108" s="156"/>
      <c r="F108" s="156"/>
      <c r="G108" s="156"/>
      <c r="H108" s="156"/>
      <c r="J108" s="156"/>
      <c r="K108" s="156"/>
      <c r="L108" s="156"/>
      <c r="M108" s="156"/>
      <c r="N108" s="156"/>
      <c r="O108" s="156"/>
      <c r="P108" s="156"/>
    </row>
    <row r="109" spans="1:16" ht="14.4" x14ac:dyDescent="0.3">
      <c r="B109" s="156"/>
      <c r="C109" s="156"/>
      <c r="D109" s="156"/>
      <c r="E109" s="156"/>
      <c r="F109" s="156"/>
      <c r="G109" s="156"/>
      <c r="H109" s="156"/>
      <c r="J109" s="156"/>
      <c r="K109" s="156"/>
      <c r="L109" s="156"/>
      <c r="M109" s="156"/>
      <c r="N109" s="156"/>
      <c r="O109" s="156"/>
      <c r="P109" s="156"/>
    </row>
    <row r="110" spans="1:16" ht="14.4" x14ac:dyDescent="0.3">
      <c r="B110" s="156"/>
      <c r="C110" s="156"/>
      <c r="D110" s="156"/>
      <c r="E110" s="156"/>
      <c r="F110" s="156"/>
      <c r="G110" s="156"/>
      <c r="H110" s="156"/>
      <c r="J110" s="156"/>
      <c r="K110" s="156"/>
      <c r="L110" s="156"/>
      <c r="M110" s="156"/>
      <c r="N110" s="156"/>
      <c r="O110" s="156"/>
      <c r="P110" s="156"/>
    </row>
    <row r="111" spans="1:16" ht="14.4" x14ac:dyDescent="0.3">
      <c r="B111" s="156"/>
      <c r="C111" s="156"/>
      <c r="D111" s="156"/>
      <c r="E111" s="156"/>
      <c r="F111" s="156"/>
      <c r="G111" s="156"/>
      <c r="H111" s="156"/>
      <c r="J111" s="156"/>
      <c r="K111" s="156"/>
      <c r="L111" s="156"/>
      <c r="M111" s="156"/>
      <c r="N111" s="156"/>
      <c r="O111" s="156"/>
      <c r="P111" s="156"/>
    </row>
    <row r="112" spans="1:16" ht="14.4" x14ac:dyDescent="0.3">
      <c r="B112" s="156"/>
      <c r="C112" s="156"/>
      <c r="D112" s="156"/>
      <c r="E112" s="156"/>
      <c r="F112" s="156"/>
      <c r="G112" s="156"/>
      <c r="H112" s="156"/>
      <c r="J112" s="156"/>
      <c r="K112" s="156"/>
      <c r="L112" s="156"/>
      <c r="M112" s="156"/>
      <c r="N112" s="156"/>
      <c r="O112" s="156"/>
      <c r="P112" s="156"/>
    </row>
    <row r="113" spans="2:16" ht="14.4" x14ac:dyDescent="0.3">
      <c r="B113" s="156"/>
      <c r="C113" s="156"/>
      <c r="D113" s="156"/>
      <c r="E113" s="156"/>
      <c r="F113" s="156"/>
      <c r="G113" s="156"/>
      <c r="H113" s="156"/>
      <c r="J113" s="156"/>
      <c r="K113" s="156"/>
      <c r="L113" s="156"/>
      <c r="M113" s="156"/>
      <c r="N113" s="156"/>
      <c r="O113" s="156"/>
      <c r="P113" s="156"/>
    </row>
    <row r="114" spans="2:16" ht="14.4" x14ac:dyDescent="0.3">
      <c r="B114" s="156"/>
      <c r="C114" s="156"/>
      <c r="D114" s="156"/>
      <c r="E114" s="156"/>
      <c r="F114" s="156"/>
      <c r="G114" s="156"/>
      <c r="H114" s="156"/>
      <c r="J114" s="156"/>
      <c r="K114" s="156"/>
      <c r="L114" s="156"/>
      <c r="M114" s="156"/>
      <c r="N114" s="156"/>
      <c r="O114" s="156"/>
      <c r="P114" s="156"/>
    </row>
    <row r="115" spans="2:16" ht="14.4" x14ac:dyDescent="0.3">
      <c r="B115" s="156"/>
      <c r="C115" s="156"/>
      <c r="D115" s="156"/>
      <c r="E115" s="156"/>
      <c r="F115" s="156"/>
      <c r="G115" s="156"/>
      <c r="H115" s="156"/>
      <c r="J115" s="156"/>
      <c r="K115" s="156"/>
      <c r="L115" s="156"/>
      <c r="M115" s="156"/>
      <c r="N115" s="156"/>
      <c r="O115" s="156"/>
      <c r="P115" s="156"/>
    </row>
    <row r="116" spans="2:16" ht="14.4" x14ac:dyDescent="0.3">
      <c r="B116" s="156"/>
      <c r="C116" s="156"/>
      <c r="D116" s="156"/>
      <c r="E116" s="156"/>
      <c r="F116" s="156"/>
      <c r="G116" s="156"/>
      <c r="H116" s="156"/>
      <c r="J116" s="156"/>
      <c r="K116" s="156"/>
      <c r="L116" s="156"/>
      <c r="M116" s="156"/>
      <c r="N116" s="156"/>
      <c r="O116" s="156"/>
      <c r="P116" s="156"/>
    </row>
    <row r="117" spans="2:16" ht="14.4" x14ac:dyDescent="0.3">
      <c r="B117" s="156"/>
      <c r="C117" s="156"/>
      <c r="D117" s="156"/>
      <c r="E117" s="156"/>
      <c r="F117" s="156"/>
      <c r="G117" s="156"/>
      <c r="H117" s="156"/>
      <c r="J117" s="156"/>
      <c r="K117" s="156"/>
      <c r="L117" s="156"/>
      <c r="M117" s="156"/>
      <c r="N117" s="156"/>
      <c r="O117" s="156"/>
      <c r="P117" s="156"/>
    </row>
    <row r="118" spans="2:16" ht="14.4" x14ac:dyDescent="0.3">
      <c r="B118" s="156"/>
      <c r="C118" s="156"/>
      <c r="D118" s="156"/>
      <c r="E118" s="156"/>
      <c r="F118" s="156"/>
      <c r="G118" s="156"/>
      <c r="H118" s="156"/>
      <c r="J118" s="156"/>
      <c r="K118" s="156"/>
      <c r="L118" s="156"/>
      <c r="M118" s="156"/>
      <c r="N118" s="156"/>
      <c r="O118" s="156"/>
      <c r="P118" s="156"/>
    </row>
    <row r="119" spans="2:16" ht="14.4" x14ac:dyDescent="0.3">
      <c r="B119" s="156"/>
      <c r="C119" s="156"/>
      <c r="D119" s="156"/>
      <c r="E119" s="156"/>
      <c r="F119" s="156"/>
      <c r="G119" s="156"/>
      <c r="H119" s="156"/>
      <c r="J119" s="156"/>
      <c r="K119" s="156"/>
      <c r="L119" s="156"/>
      <c r="M119" s="156"/>
      <c r="N119" s="156"/>
      <c r="O119" s="156"/>
      <c r="P119" s="156"/>
    </row>
    <row r="120" spans="2:16" ht="14.4" x14ac:dyDescent="0.3">
      <c r="B120" s="156"/>
      <c r="C120" s="156"/>
      <c r="D120" s="156"/>
      <c r="E120" s="156"/>
      <c r="F120" s="156"/>
      <c r="G120" s="156"/>
      <c r="H120" s="156"/>
      <c r="J120" s="156"/>
      <c r="K120" s="156"/>
      <c r="L120" s="156"/>
      <c r="M120" s="156"/>
      <c r="N120" s="156"/>
      <c r="O120" s="156"/>
      <c r="P120" s="156"/>
    </row>
    <row r="121" spans="2:16" ht="14.4" x14ac:dyDescent="0.3">
      <c r="B121" s="156"/>
      <c r="C121" s="156"/>
      <c r="D121" s="156"/>
      <c r="E121" s="156"/>
      <c r="F121" s="156"/>
      <c r="G121" s="156"/>
      <c r="H121" s="156"/>
      <c r="J121" s="156"/>
      <c r="K121" s="156"/>
      <c r="L121" s="156"/>
      <c r="M121" s="156"/>
      <c r="N121" s="156"/>
      <c r="O121" s="156"/>
      <c r="P121" s="156"/>
    </row>
    <row r="122" spans="2:16" ht="14.4" x14ac:dyDescent="0.3">
      <c r="B122" s="156"/>
      <c r="C122" s="156"/>
      <c r="D122" s="156"/>
      <c r="E122" s="156"/>
      <c r="F122" s="156"/>
      <c r="G122" s="156"/>
      <c r="H122" s="156"/>
      <c r="J122" s="156"/>
      <c r="K122" s="156"/>
      <c r="L122" s="156"/>
      <c r="M122" s="156"/>
      <c r="N122" s="156"/>
      <c r="O122" s="156"/>
      <c r="P122" s="156"/>
    </row>
    <row r="123" spans="2:16" ht="14.4" x14ac:dyDescent="0.3">
      <c r="B123" s="156"/>
      <c r="C123" s="156"/>
      <c r="D123" s="156"/>
      <c r="E123" s="156"/>
      <c r="F123" s="156"/>
      <c r="G123" s="156"/>
      <c r="H123" s="156"/>
      <c r="J123" s="156"/>
      <c r="K123" s="156"/>
      <c r="L123" s="156"/>
      <c r="M123" s="156"/>
      <c r="N123" s="156"/>
      <c r="O123" s="156"/>
      <c r="P123" s="156"/>
    </row>
    <row r="124" spans="2:16" ht="14.4" x14ac:dyDescent="0.3">
      <c r="B124" s="156"/>
      <c r="C124" s="156"/>
      <c r="D124" s="156"/>
      <c r="E124" s="156"/>
      <c r="F124" s="156"/>
      <c r="G124" s="156"/>
      <c r="H124" s="156"/>
      <c r="J124" s="156"/>
      <c r="K124" s="156"/>
      <c r="L124" s="156"/>
      <c r="M124" s="156"/>
      <c r="N124" s="156"/>
      <c r="O124" s="156"/>
      <c r="P124" s="156"/>
    </row>
    <row r="125" spans="2:16" ht="14.4" x14ac:dyDescent="0.3">
      <c r="B125" s="156"/>
      <c r="C125" s="156"/>
      <c r="D125" s="156"/>
      <c r="E125" s="156"/>
      <c r="F125" s="156"/>
      <c r="G125" s="156"/>
      <c r="H125" s="156"/>
      <c r="J125" s="156"/>
      <c r="K125" s="156"/>
      <c r="L125" s="156"/>
      <c r="M125" s="156"/>
      <c r="N125" s="156"/>
      <c r="O125" s="156"/>
      <c r="P125" s="156"/>
    </row>
    <row r="126" spans="2:16" ht="14.4" x14ac:dyDescent="0.3">
      <c r="B126" s="156"/>
      <c r="C126" s="156"/>
      <c r="D126" s="156"/>
      <c r="E126" s="156"/>
      <c r="F126" s="156"/>
      <c r="G126" s="156"/>
      <c r="H126" s="156"/>
      <c r="J126" s="156"/>
      <c r="K126" s="156"/>
      <c r="L126" s="156"/>
      <c r="M126" s="156"/>
      <c r="N126" s="156"/>
      <c r="O126" s="156"/>
      <c r="P126" s="156"/>
    </row>
    <row r="127" spans="2:16" ht="14.4" x14ac:dyDescent="0.3">
      <c r="B127" s="156"/>
      <c r="C127" s="156"/>
      <c r="D127" s="156"/>
      <c r="E127" s="156"/>
      <c r="F127" s="156"/>
      <c r="G127" s="156"/>
      <c r="H127" s="156"/>
      <c r="J127" s="156"/>
      <c r="K127" s="156"/>
      <c r="L127" s="156"/>
      <c r="M127" s="156"/>
      <c r="N127" s="156"/>
      <c r="O127" s="156"/>
      <c r="P127" s="156"/>
    </row>
    <row r="128" spans="2:16" ht="14.4" x14ac:dyDescent="0.3">
      <c r="B128" s="156"/>
      <c r="C128" s="156"/>
      <c r="D128" s="156"/>
      <c r="E128" s="156"/>
      <c r="F128" s="156"/>
      <c r="G128" s="156"/>
      <c r="H128" s="156"/>
      <c r="J128" s="156"/>
      <c r="K128" s="156"/>
      <c r="L128" s="156"/>
      <c r="M128" s="156"/>
      <c r="N128" s="156"/>
      <c r="O128" s="156"/>
      <c r="P128" s="156"/>
    </row>
    <row r="129" spans="2:16" ht="14.4" x14ac:dyDescent="0.3">
      <c r="B129" s="156"/>
      <c r="C129" s="156"/>
      <c r="D129" s="156"/>
      <c r="E129" s="156"/>
      <c r="F129" s="156"/>
      <c r="G129" s="156"/>
      <c r="H129" s="156"/>
      <c r="J129" s="156"/>
      <c r="K129" s="156"/>
      <c r="L129" s="156"/>
      <c r="M129" s="156"/>
      <c r="N129" s="156"/>
      <c r="O129" s="156"/>
      <c r="P129" s="156"/>
    </row>
    <row r="130" spans="2:16" ht="14.4" x14ac:dyDescent="0.3">
      <c r="B130" s="156"/>
      <c r="C130" s="156"/>
      <c r="D130" s="156"/>
      <c r="E130" s="156"/>
      <c r="F130" s="156"/>
      <c r="G130" s="156"/>
      <c r="H130" s="156"/>
      <c r="J130" s="156"/>
      <c r="K130" s="156"/>
      <c r="L130" s="156"/>
      <c r="M130" s="156"/>
      <c r="N130" s="156"/>
      <c r="O130" s="156"/>
      <c r="P130" s="156"/>
    </row>
    <row r="131" spans="2:16" ht="14.4" x14ac:dyDescent="0.3">
      <c r="B131" s="156"/>
      <c r="C131" s="156"/>
      <c r="D131" s="156"/>
      <c r="E131" s="156"/>
      <c r="F131" s="156"/>
      <c r="G131" s="156"/>
      <c r="H131" s="156"/>
      <c r="J131" s="156"/>
      <c r="K131" s="156"/>
      <c r="L131" s="156"/>
      <c r="M131" s="156"/>
      <c r="N131" s="156"/>
      <c r="O131" s="156"/>
      <c r="P131" s="156"/>
    </row>
    <row r="132" spans="2:16" ht="14.4" x14ac:dyDescent="0.3">
      <c r="B132" s="156"/>
      <c r="C132" s="156"/>
      <c r="D132" s="156"/>
      <c r="E132" s="156"/>
      <c r="F132" s="156"/>
      <c r="G132" s="156"/>
      <c r="H132" s="156"/>
      <c r="J132" s="156"/>
      <c r="K132" s="156"/>
      <c r="L132" s="156"/>
      <c r="M132" s="156"/>
      <c r="N132" s="156"/>
      <c r="O132" s="156"/>
      <c r="P132" s="156"/>
    </row>
    <row r="133" spans="2:16" ht="14.4" x14ac:dyDescent="0.3">
      <c r="B133" s="156"/>
      <c r="C133" s="156"/>
      <c r="D133" s="156"/>
      <c r="E133" s="156"/>
      <c r="F133" s="156"/>
      <c r="G133" s="156"/>
      <c r="H133" s="156"/>
    </row>
    <row r="134" spans="2:16" ht="14.4" x14ac:dyDescent="0.3">
      <c r="B134" s="156"/>
      <c r="C134" s="156"/>
      <c r="D134" s="156"/>
      <c r="E134" s="156"/>
      <c r="F134" s="156"/>
      <c r="G134" s="156"/>
      <c r="H134" s="156"/>
    </row>
    <row r="135" spans="2:16" ht="14.4" x14ac:dyDescent="0.3">
      <c r="B135" s="156"/>
      <c r="C135" s="156"/>
      <c r="D135" s="156"/>
      <c r="E135" s="156"/>
      <c r="F135" s="156"/>
      <c r="G135" s="156"/>
      <c r="H135" s="156"/>
    </row>
    <row r="136" spans="2:16" ht="14.4" x14ac:dyDescent="0.3">
      <c r="B136" s="156"/>
      <c r="C136" s="156"/>
      <c r="D136" s="156"/>
      <c r="E136" s="156"/>
      <c r="F136" s="156"/>
      <c r="G136" s="156"/>
      <c r="H136" s="156"/>
    </row>
  </sheetData>
  <mergeCells count="6">
    <mergeCell ref="D14:E22"/>
    <mergeCell ref="G14:G22"/>
    <mergeCell ref="D25:E30"/>
    <mergeCell ref="G25:G30"/>
    <mergeCell ref="D37:E38"/>
    <mergeCell ref="G37:G38"/>
  </mergeCells>
  <pageMargins left="0.7" right="0.45" top="0.75" bottom="0.75" header="0.3" footer="0.3"/>
  <pageSetup scale="60" orientation="portrait" r:id="rId1"/>
  <customProperties>
    <customPr name="EpmWorksheetKeyString_GUID" r:id="rId2"/>
  </customPropertie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L68"/>
  <sheetViews>
    <sheetView zoomScale="85" zoomScaleNormal="85" workbookViewId="0">
      <pane xSplit="1" ySplit="13" topLeftCell="BG14" activePane="bottomRight" state="frozen"/>
      <selection activeCell="B41" sqref="B41"/>
      <selection pane="topRight" activeCell="B41" sqref="B41"/>
      <selection pane="bottomLeft" activeCell="B41" sqref="B41"/>
      <selection pane="bottomRight" activeCell="BZ39" sqref="BZ39"/>
    </sheetView>
  </sheetViews>
  <sheetFormatPr defaultColWidth="9.109375" defaultRowHeight="14.4" outlineLevelCol="1" x14ac:dyDescent="0.3"/>
  <cols>
    <col min="1" max="1" width="11.6640625" style="6" bestFit="1" customWidth="1"/>
    <col min="2" max="2" width="56" style="6" bestFit="1" customWidth="1"/>
    <col min="3" max="3" width="8.88671875" style="6" bestFit="1" customWidth="1"/>
    <col min="4" max="6" width="15" style="6" customWidth="1"/>
    <col min="7" max="7" width="18.33203125" style="6" customWidth="1"/>
    <col min="8" max="8" width="17.6640625" style="6" customWidth="1"/>
    <col min="9" max="9" width="9.33203125" style="6" bestFit="1" customWidth="1"/>
    <col min="10" max="10" width="55.44140625" style="6" bestFit="1" customWidth="1"/>
    <col min="11" max="11" width="6.5546875" style="6" customWidth="1"/>
    <col min="12" max="13" width="13" style="6" bestFit="1" customWidth="1"/>
    <col min="14" max="14" width="13.33203125" style="6" bestFit="1" customWidth="1"/>
    <col min="15" max="15" width="11.44140625" style="6" customWidth="1"/>
    <col min="16" max="16" width="12.6640625" style="6" customWidth="1"/>
    <col min="17" max="17" width="6.44140625" style="6" customWidth="1"/>
    <col min="18" max="18" width="40.6640625" style="6" bestFit="1" customWidth="1"/>
    <col min="19" max="19" width="4.6640625" style="6" bestFit="1" customWidth="1"/>
    <col min="20" max="20" width="11.88671875" style="6" bestFit="1" customWidth="1"/>
    <col min="21" max="21" width="11.44140625" style="6" bestFit="1" customWidth="1"/>
    <col min="22" max="22" width="14.6640625" style="6" bestFit="1" customWidth="1"/>
    <col min="23" max="23" width="12.88671875" style="6" bestFit="1" customWidth="1"/>
    <col min="24" max="24" width="14.6640625" style="6" bestFit="1" customWidth="1"/>
    <col min="25" max="25" width="7.44140625" style="6" customWidth="1" outlineLevel="1"/>
    <col min="26" max="26" width="36.44140625" style="6" customWidth="1" outlineLevel="1"/>
    <col min="27" max="27" width="7.44140625" style="6" customWidth="1" outlineLevel="1"/>
    <col min="28" max="28" width="15" style="6" customWidth="1" outlineLevel="1"/>
    <col min="29" max="29" width="11.44140625" style="6" customWidth="1" outlineLevel="1"/>
    <col min="30" max="30" width="13.5546875" style="6" customWidth="1" outlineLevel="1"/>
    <col min="31" max="32" width="12.6640625" style="6" customWidth="1" outlineLevel="1"/>
    <col min="33" max="33" width="5.44140625" style="6" customWidth="1" outlineLevel="1"/>
    <col min="34" max="34" width="48.109375" style="6" customWidth="1" outlineLevel="1"/>
    <col min="35" max="35" width="4.5546875" style="6" customWidth="1" outlineLevel="1"/>
    <col min="36" max="37" width="13.44140625" style="6" customWidth="1" outlineLevel="1"/>
    <col min="38" max="38" width="16" style="6" customWidth="1" outlineLevel="1"/>
    <col min="39" max="39" width="13.44140625" style="6" customWidth="1" outlineLevel="1"/>
    <col min="40" max="40" width="14.6640625" style="6" customWidth="1" outlineLevel="1"/>
    <col min="41" max="41" width="9.109375" style="6" customWidth="1" outlineLevel="1"/>
    <col min="42" max="42" width="67.33203125" style="6" customWidth="1" outlineLevel="1"/>
    <col min="43" max="43" width="9" style="6" customWidth="1" outlineLevel="1"/>
    <col min="44" max="48" width="14.5546875" style="6" customWidth="1" outlineLevel="1"/>
    <col min="49" max="49" width="5" style="6" customWidth="1" outlineLevel="1"/>
    <col min="50" max="50" width="72.44140625" style="6" customWidth="1" outlineLevel="1"/>
    <col min="51" max="51" width="6" style="6" customWidth="1" outlineLevel="1"/>
    <col min="52" max="56" width="14.5546875" style="6" customWidth="1" outlineLevel="1"/>
    <col min="57" max="57" width="5.44140625" style="6" customWidth="1" outlineLevel="1"/>
    <col min="58" max="58" width="37" style="6" customWidth="1" outlineLevel="1"/>
    <col min="59" max="59" width="4.5546875" style="6" customWidth="1" outlineLevel="1"/>
    <col min="60" max="64" width="14.5546875" style="6" customWidth="1" outlineLevel="1"/>
    <col min="65" max="65" width="5.44140625" style="6" customWidth="1" outlineLevel="1"/>
    <col min="66" max="66" width="41.44140625" style="6" customWidth="1" outlineLevel="1"/>
    <col min="67" max="67" width="4.5546875" style="6" customWidth="1" outlineLevel="1"/>
    <col min="68" max="70" width="14.6640625" style="6" customWidth="1" outlineLevel="1"/>
    <col min="71" max="72" width="14.5546875" style="6" customWidth="1" outlineLevel="1"/>
    <col min="73" max="73" width="5.44140625" style="6" customWidth="1" outlineLevel="1"/>
    <col min="74" max="74" width="43.88671875" style="6" customWidth="1" outlineLevel="1"/>
    <col min="75" max="75" width="7.44140625" style="6" customWidth="1" outlineLevel="1"/>
    <col min="76" max="80" width="14.5546875" style="6" customWidth="1" outlineLevel="1"/>
    <col min="81" max="81" width="5.44140625" style="6" customWidth="1"/>
    <col min="82" max="82" width="29.44140625" style="6" bestFit="1" customWidth="1"/>
    <col min="83" max="83" width="5.88671875" style="6" bestFit="1" customWidth="1"/>
    <col min="84" max="84" width="11.5546875" style="156" customWidth="1"/>
    <col min="85" max="85" width="14.109375" style="156" bestFit="1" customWidth="1"/>
    <col min="86" max="86" width="14.109375" style="156" customWidth="1"/>
    <col min="87" max="87" width="12" style="156" customWidth="1"/>
    <col min="88" max="88" width="14.109375" style="156" customWidth="1"/>
    <col min="89" max="16384" width="9.109375" style="156"/>
  </cols>
  <sheetData>
    <row r="1" spans="1:90" ht="15" thickBot="1" x14ac:dyDescent="0.35">
      <c r="A1" s="156"/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6"/>
      <c r="P1" s="156"/>
      <c r="Q1" s="156"/>
      <c r="R1" s="156"/>
      <c r="S1" s="156"/>
      <c r="T1" s="156"/>
      <c r="U1" s="156"/>
      <c r="V1" s="156"/>
      <c r="W1" s="156"/>
      <c r="X1" s="156"/>
      <c r="Y1" s="156"/>
      <c r="Z1" s="156"/>
      <c r="AA1" s="156"/>
      <c r="AB1" s="156"/>
      <c r="AC1" s="156"/>
      <c r="AD1" s="156"/>
      <c r="AE1" s="156"/>
      <c r="AF1" s="156"/>
      <c r="AG1" s="156"/>
      <c r="AH1" s="156"/>
      <c r="AI1" s="156"/>
      <c r="AJ1" s="156"/>
      <c r="AK1" s="156"/>
      <c r="AL1" s="156"/>
      <c r="AM1" s="156"/>
      <c r="AN1" s="156"/>
      <c r="AO1" s="156"/>
      <c r="AP1" s="156"/>
      <c r="AQ1" s="156"/>
      <c r="AR1" s="156"/>
      <c r="AS1" s="156"/>
      <c r="AT1" s="156"/>
      <c r="AU1" s="156"/>
      <c r="AV1" s="156"/>
      <c r="AW1" s="156"/>
      <c r="AX1" s="156"/>
      <c r="AY1" s="156"/>
      <c r="AZ1" s="156"/>
      <c r="BA1" s="156"/>
      <c r="BB1" s="156"/>
      <c r="BC1" s="156"/>
      <c r="BD1" s="156"/>
      <c r="BE1" s="156"/>
      <c r="BF1" s="156"/>
      <c r="BG1" s="156"/>
      <c r="BH1" s="156"/>
      <c r="BI1" s="156"/>
      <c r="BJ1" s="156"/>
      <c r="BK1" s="156"/>
      <c r="BL1" s="156"/>
      <c r="BM1" s="156"/>
      <c r="BN1" s="156"/>
      <c r="BO1" s="156"/>
      <c r="BP1" s="156"/>
      <c r="BQ1" s="156"/>
      <c r="BR1" s="156"/>
      <c r="BS1" s="156"/>
      <c r="BT1" s="156"/>
      <c r="BU1" s="156"/>
      <c r="BV1" s="156"/>
      <c r="BW1" s="156"/>
      <c r="BX1" s="156"/>
      <c r="BY1" s="156"/>
      <c r="BZ1" s="156"/>
      <c r="CA1" s="156"/>
      <c r="CB1" s="156"/>
      <c r="CC1" s="156"/>
      <c r="CD1" s="156"/>
      <c r="CE1" s="156"/>
    </row>
    <row r="2" spans="1:90" s="6" customFormat="1" x14ac:dyDescent="0.3">
      <c r="G2" s="21"/>
      <c r="H2" s="272" t="str">
        <f>DOCKETNUMBER_E</f>
        <v>UE-__________</v>
      </c>
      <c r="O2" s="21"/>
      <c r="P2" s="272" t="str">
        <f>DOCKETNUMBER_E</f>
        <v>UE-__________</v>
      </c>
      <c r="W2" s="21"/>
      <c r="X2" s="272" t="str">
        <f>DOCKETNUMBER_E</f>
        <v>UE-__________</v>
      </c>
      <c r="AE2" s="21"/>
      <c r="AF2" s="272" t="str">
        <f>DOCKETNUMBER_E</f>
        <v>UE-__________</v>
      </c>
      <c r="AM2" s="21"/>
      <c r="AN2" s="272" t="str">
        <f>DOCKETNUMBER_E</f>
        <v>UE-__________</v>
      </c>
      <c r="AU2" s="21"/>
      <c r="AV2" s="272" t="str">
        <f>DOCKETNUMBER_E</f>
        <v>UE-__________</v>
      </c>
      <c r="BC2" s="21"/>
      <c r="BD2" s="272" t="str">
        <f>DOCKETNUMBER_E</f>
        <v>UE-__________</v>
      </c>
      <c r="BK2" s="21"/>
      <c r="BL2" s="272" t="str">
        <f>DOCKETNUMBER_E</f>
        <v>UE-__________</v>
      </c>
      <c r="BS2" s="21"/>
      <c r="BT2" s="272" t="str">
        <f>DOCKETNUMBER_E</f>
        <v>UE-__________</v>
      </c>
      <c r="CA2" s="21"/>
      <c r="CB2" s="272" t="str">
        <f>DOCKETNUMBER_E</f>
        <v>UE-__________</v>
      </c>
      <c r="CI2" s="21"/>
      <c r="CJ2" s="272" t="str">
        <f>DOCKETNUMBER_E</f>
        <v>UE-__________</v>
      </c>
      <c r="CK2" s="156"/>
      <c r="CL2" s="156"/>
    </row>
    <row r="3" spans="1:90" s="6" customFormat="1" ht="15" thickBot="1" x14ac:dyDescent="0.35">
      <c r="G3" s="22"/>
      <c r="H3" s="273" t="s">
        <v>799</v>
      </c>
      <c r="O3" s="22"/>
      <c r="P3" s="273" t="s">
        <v>800</v>
      </c>
      <c r="W3" s="22"/>
      <c r="X3" s="273" t="s">
        <v>801</v>
      </c>
      <c r="AE3" s="22"/>
      <c r="AF3" s="273" t="s">
        <v>802</v>
      </c>
      <c r="AM3" s="22"/>
      <c r="AN3" s="273" t="s">
        <v>803</v>
      </c>
      <c r="AU3" s="22"/>
      <c r="AV3" s="273" t="s">
        <v>804</v>
      </c>
      <c r="BC3" s="22"/>
      <c r="BD3" s="273" t="s">
        <v>805</v>
      </c>
      <c r="BE3" s="274"/>
      <c r="BF3" s="274"/>
      <c r="BG3" s="274"/>
      <c r="BH3" s="274"/>
      <c r="BI3" s="274"/>
      <c r="BJ3" s="274"/>
      <c r="BK3" s="22"/>
      <c r="BL3" s="273" t="s">
        <v>806</v>
      </c>
      <c r="BS3" s="22"/>
      <c r="BT3" s="273" t="s">
        <v>807</v>
      </c>
      <c r="CA3" s="22"/>
      <c r="CB3" s="273" t="s">
        <v>808</v>
      </c>
      <c r="CI3" s="22"/>
      <c r="CJ3" s="273"/>
      <c r="CK3" s="156"/>
      <c r="CL3" s="156"/>
    </row>
    <row r="4" spans="1:90" s="6" customFormat="1" x14ac:dyDescent="0.3">
      <c r="CK4" s="156"/>
      <c r="CL4" s="156"/>
    </row>
    <row r="5" spans="1:90" s="6" customFormat="1" x14ac:dyDescent="0.3">
      <c r="A5" s="275"/>
      <c r="CC5" s="183" t="s">
        <v>45</v>
      </c>
      <c r="CD5" s="183"/>
      <c r="CE5" s="183"/>
      <c r="CF5" s="183"/>
      <c r="CG5" s="183"/>
      <c r="CH5" s="183"/>
      <c r="CI5" s="183"/>
      <c r="CJ5" s="183"/>
      <c r="CK5" s="156"/>
      <c r="CL5" s="156"/>
    </row>
    <row r="6" spans="1:90" s="6" customFormat="1" x14ac:dyDescent="0.3">
      <c r="B6" s="275" t="s">
        <v>91</v>
      </c>
      <c r="C6" s="2"/>
      <c r="D6" s="2"/>
      <c r="E6" s="2"/>
      <c r="F6" s="2"/>
      <c r="G6" s="2"/>
      <c r="H6" s="2"/>
      <c r="J6" s="275" t="s">
        <v>91</v>
      </c>
      <c r="K6" s="2"/>
      <c r="L6" s="2"/>
      <c r="M6" s="2"/>
      <c r="N6" s="2"/>
      <c r="O6" s="2"/>
      <c r="P6" s="2"/>
      <c r="R6" s="275" t="s">
        <v>91</v>
      </c>
      <c r="S6" s="2"/>
      <c r="T6" s="2"/>
      <c r="U6" s="2"/>
      <c r="V6" s="2"/>
      <c r="W6" s="2"/>
      <c r="X6" s="2"/>
      <c r="Z6" s="275" t="s">
        <v>91</v>
      </c>
      <c r="AA6" s="275"/>
      <c r="AB6" s="2"/>
      <c r="AC6" s="2"/>
      <c r="AD6" s="2"/>
      <c r="AE6" s="2"/>
      <c r="AF6" s="2"/>
      <c r="AG6" s="275" t="s">
        <v>91</v>
      </c>
      <c r="AH6" s="275"/>
      <c r="AI6" s="2"/>
      <c r="AJ6" s="2"/>
      <c r="AK6" s="2"/>
      <c r="AL6" s="2"/>
      <c r="AM6" s="2"/>
      <c r="AN6" s="2"/>
      <c r="AO6" s="275" t="s">
        <v>91</v>
      </c>
      <c r="AP6" s="2"/>
      <c r="AQ6" s="2"/>
      <c r="AR6" s="275"/>
      <c r="AS6" s="275"/>
      <c r="AT6" s="275"/>
      <c r="AU6" s="275"/>
      <c r="AV6" s="275"/>
      <c r="AW6" s="275" t="s">
        <v>91</v>
      </c>
      <c r="AX6" s="2"/>
      <c r="AY6" s="2"/>
      <c r="AZ6" s="2"/>
      <c r="BA6" s="2"/>
      <c r="BB6" s="2"/>
      <c r="BC6" s="2"/>
      <c r="BD6" s="2"/>
      <c r="BE6" s="275" t="s">
        <v>91</v>
      </c>
      <c r="BF6" s="2"/>
      <c r="BG6" s="2"/>
      <c r="BH6" s="2"/>
      <c r="BI6" s="2"/>
      <c r="BJ6" s="2"/>
      <c r="BK6" s="2"/>
      <c r="BL6" s="2"/>
      <c r="BM6" s="275" t="s">
        <v>91</v>
      </c>
      <c r="BN6" s="275"/>
      <c r="BO6" s="2"/>
      <c r="BP6" s="2"/>
      <c r="BQ6" s="2"/>
      <c r="BR6" s="2"/>
      <c r="BS6" s="2"/>
      <c r="BT6" s="2"/>
      <c r="BU6" s="275" t="s">
        <v>91</v>
      </c>
      <c r="BV6" s="275"/>
      <c r="BW6" s="2"/>
      <c r="BX6" s="2"/>
      <c r="BY6" s="2"/>
      <c r="BZ6" s="2"/>
      <c r="CA6" s="2"/>
      <c r="CB6" s="2"/>
      <c r="CC6" s="275" t="s">
        <v>811</v>
      </c>
      <c r="CD6" s="183"/>
      <c r="CE6" s="183"/>
      <c r="CF6" s="183"/>
      <c r="CG6" s="183"/>
      <c r="CH6" s="183"/>
      <c r="CI6" s="275"/>
      <c r="CJ6" s="183"/>
      <c r="CK6" s="156"/>
      <c r="CL6" s="156"/>
    </row>
    <row r="7" spans="1:90" s="6" customFormat="1" x14ac:dyDescent="0.3">
      <c r="B7" s="275" t="s">
        <v>92</v>
      </c>
      <c r="C7" s="2"/>
      <c r="D7" s="2"/>
      <c r="E7" s="2"/>
      <c r="F7" s="2"/>
      <c r="G7" s="2"/>
      <c r="H7" s="2"/>
      <c r="J7" s="275" t="s">
        <v>96</v>
      </c>
      <c r="K7" s="2"/>
      <c r="L7" s="2"/>
      <c r="M7" s="2"/>
      <c r="N7" s="2"/>
      <c r="O7" s="2"/>
      <c r="P7" s="2"/>
      <c r="R7" s="275" t="s">
        <v>98</v>
      </c>
      <c r="S7" s="2"/>
      <c r="T7" s="2"/>
      <c r="U7" s="2"/>
      <c r="V7" s="2"/>
      <c r="W7" s="2"/>
      <c r="X7" s="2"/>
      <c r="Z7" s="275" t="s">
        <v>104</v>
      </c>
      <c r="AA7" s="275"/>
      <c r="AB7" s="2"/>
      <c r="AC7" s="2"/>
      <c r="AD7" s="2"/>
      <c r="AE7" s="2"/>
      <c r="AF7" s="2"/>
      <c r="AG7" s="276" t="s">
        <v>109</v>
      </c>
      <c r="AH7" s="276"/>
      <c r="AI7" s="2"/>
      <c r="AJ7" s="2"/>
      <c r="AK7" s="2"/>
      <c r="AL7" s="2"/>
      <c r="AM7" s="2"/>
      <c r="AN7" s="2"/>
      <c r="AO7" s="276" t="s">
        <v>111</v>
      </c>
      <c r="AP7" s="2"/>
      <c r="AQ7" s="2"/>
      <c r="AR7" s="275"/>
      <c r="AS7" s="275"/>
      <c r="AT7" s="275"/>
      <c r="AU7" s="275"/>
      <c r="AV7" s="275"/>
      <c r="AW7" s="276" t="s">
        <v>524</v>
      </c>
      <c r="AX7" s="2"/>
      <c r="AY7" s="2"/>
      <c r="AZ7" s="2"/>
      <c r="BA7" s="2"/>
      <c r="BB7" s="2"/>
      <c r="BC7" s="2"/>
      <c r="BD7" s="2"/>
      <c r="BE7" s="275" t="s">
        <v>406</v>
      </c>
      <c r="BF7" s="2"/>
      <c r="BG7" s="2"/>
      <c r="BH7" s="2"/>
      <c r="BI7" s="2"/>
      <c r="BJ7" s="2"/>
      <c r="BK7" s="2"/>
      <c r="BL7" s="2"/>
      <c r="BM7" s="275" t="s">
        <v>414</v>
      </c>
      <c r="BN7" s="275"/>
      <c r="BO7" s="2"/>
      <c r="BP7" s="2"/>
      <c r="BQ7" s="2"/>
      <c r="BR7" s="2"/>
      <c r="BS7" s="2"/>
      <c r="BT7" s="2"/>
      <c r="BU7" s="275" t="s">
        <v>567</v>
      </c>
      <c r="BV7" s="275"/>
      <c r="BW7" s="2"/>
      <c r="BX7" s="2"/>
      <c r="BY7" s="2"/>
      <c r="BZ7" s="2"/>
      <c r="CA7" s="2"/>
      <c r="CB7" s="2"/>
      <c r="CC7" s="183" t="s">
        <v>266</v>
      </c>
      <c r="CD7" s="183"/>
      <c r="CE7" s="183"/>
      <c r="CF7" s="183"/>
      <c r="CG7" s="183"/>
      <c r="CH7" s="183"/>
      <c r="CI7" s="183"/>
      <c r="CJ7" s="183"/>
      <c r="CK7" s="156"/>
      <c r="CL7" s="156"/>
    </row>
    <row r="8" spans="1:90" s="6" customFormat="1" x14ac:dyDescent="0.3">
      <c r="B8" s="275" t="str">
        <f>TESTYEAR_E</f>
        <v>12 MONTHS ENDED DECEMBER 31, 2018</v>
      </c>
      <c r="C8" s="2"/>
      <c r="D8" s="2"/>
      <c r="E8" s="2"/>
      <c r="F8" s="2"/>
      <c r="G8" s="2"/>
      <c r="H8" s="2"/>
      <c r="J8" s="275" t="str">
        <f>TESTYEAR_E</f>
        <v>12 MONTHS ENDED DECEMBER 31, 2018</v>
      </c>
      <c r="K8" s="2"/>
      <c r="L8" s="2"/>
      <c r="M8" s="2"/>
      <c r="N8" s="2"/>
      <c r="O8" s="2"/>
      <c r="P8" s="2"/>
      <c r="R8" s="275" t="str">
        <f>TESTYEAR_E</f>
        <v>12 MONTHS ENDED DECEMBER 31, 2018</v>
      </c>
      <c r="S8" s="2"/>
      <c r="T8" s="2"/>
      <c r="U8" s="2"/>
      <c r="V8" s="2"/>
      <c r="W8" s="2"/>
      <c r="X8" s="2"/>
      <c r="Z8" s="275" t="str">
        <f>TESTYEAR_E</f>
        <v>12 MONTHS ENDED DECEMBER 31, 2018</v>
      </c>
      <c r="AA8" s="275"/>
      <c r="AB8" s="2"/>
      <c r="AC8" s="2"/>
      <c r="AD8" s="2"/>
      <c r="AE8" s="2"/>
      <c r="AF8" s="2"/>
      <c r="AG8" s="275" t="str">
        <f>TESTYEAR_E</f>
        <v>12 MONTHS ENDED DECEMBER 31, 2018</v>
      </c>
      <c r="AH8" s="275"/>
      <c r="AI8" s="2"/>
      <c r="AJ8" s="2"/>
      <c r="AK8" s="2"/>
      <c r="AL8" s="2"/>
      <c r="AM8" s="2"/>
      <c r="AN8" s="2"/>
      <c r="AO8" s="275" t="str">
        <f>TESTYEAR_E</f>
        <v>12 MONTHS ENDED DECEMBER 31, 2018</v>
      </c>
      <c r="AP8" s="2"/>
      <c r="AQ8" s="2"/>
      <c r="AR8" s="275"/>
      <c r="AS8" s="275"/>
      <c r="AT8" s="275"/>
      <c r="AU8" s="275"/>
      <c r="AV8" s="275"/>
      <c r="AW8" s="275" t="str">
        <f>TESTYEAR_E</f>
        <v>12 MONTHS ENDED DECEMBER 31, 2018</v>
      </c>
      <c r="AX8" s="2"/>
      <c r="AY8" s="2"/>
      <c r="AZ8" s="2"/>
      <c r="BA8" s="2"/>
      <c r="BB8" s="2"/>
      <c r="BC8" s="2"/>
      <c r="BD8" s="2"/>
      <c r="BE8" s="275" t="str">
        <f>TESTYEAR_E</f>
        <v>12 MONTHS ENDED DECEMBER 31, 2018</v>
      </c>
      <c r="BF8" s="2"/>
      <c r="BG8" s="2"/>
      <c r="BH8" s="2"/>
      <c r="BI8" s="2"/>
      <c r="BJ8" s="2"/>
      <c r="BK8" s="2"/>
      <c r="BL8" s="2"/>
      <c r="BM8" s="275" t="str">
        <f>TESTYEAR_E</f>
        <v>12 MONTHS ENDED DECEMBER 31, 2018</v>
      </c>
      <c r="BN8" s="275"/>
      <c r="BO8" s="2"/>
      <c r="BP8" s="2"/>
      <c r="BQ8" s="2"/>
      <c r="BR8" s="2"/>
      <c r="BS8" s="2"/>
      <c r="BT8" s="2"/>
      <c r="BU8" s="275" t="str">
        <f>TESTYEAR_E</f>
        <v>12 MONTHS ENDED DECEMBER 31, 2018</v>
      </c>
      <c r="BV8" s="275"/>
      <c r="BW8" s="2"/>
      <c r="BX8" s="2"/>
      <c r="BY8" s="2"/>
      <c r="BZ8" s="2"/>
      <c r="CA8" s="2"/>
      <c r="CB8" s="2"/>
      <c r="CC8" s="183" t="s">
        <v>201</v>
      </c>
      <c r="CD8" s="183"/>
      <c r="CE8" s="183"/>
      <c r="CF8" s="183"/>
      <c r="CG8" s="183"/>
      <c r="CH8" s="183"/>
      <c r="CI8" s="183"/>
      <c r="CJ8" s="183"/>
      <c r="CK8" s="156"/>
      <c r="CL8" s="156"/>
    </row>
    <row r="9" spans="1:90" s="6" customFormat="1" ht="15" thickBot="1" x14ac:dyDescent="0.35">
      <c r="B9" s="275" t="str">
        <f>CASE_E</f>
        <v>2019 GENERAL RATE CASE</v>
      </c>
      <c r="C9" s="2"/>
      <c r="D9" s="2"/>
      <c r="E9" s="2"/>
      <c r="F9" s="2"/>
      <c r="G9" s="2"/>
      <c r="H9" s="2"/>
      <c r="J9" s="275" t="str">
        <f>CASE_E</f>
        <v>2019 GENERAL RATE CASE</v>
      </c>
      <c r="K9" s="2"/>
      <c r="L9" s="2"/>
      <c r="M9" s="2"/>
      <c r="N9" s="2"/>
      <c r="O9" s="2"/>
      <c r="P9" s="2"/>
      <c r="R9" s="275" t="str">
        <f>CASE_E</f>
        <v>2019 GENERAL RATE CASE</v>
      </c>
      <c r="S9" s="2"/>
      <c r="T9" s="2"/>
      <c r="U9" s="2"/>
      <c r="V9" s="2"/>
      <c r="W9" s="2"/>
      <c r="X9" s="2"/>
      <c r="Z9" s="275" t="str">
        <f>CASE_E</f>
        <v>2019 GENERAL RATE CASE</v>
      </c>
      <c r="AA9" s="275"/>
      <c r="AB9" s="2"/>
      <c r="AC9" s="2"/>
      <c r="AD9" s="2"/>
      <c r="AE9" s="2"/>
      <c r="AF9" s="2"/>
      <c r="AG9" s="275" t="str">
        <f>CASE_E</f>
        <v>2019 GENERAL RATE CASE</v>
      </c>
      <c r="AH9" s="275"/>
      <c r="AI9" s="2"/>
      <c r="AJ9" s="2"/>
      <c r="AK9" s="2"/>
      <c r="AL9" s="2"/>
      <c r="AM9" s="2"/>
      <c r="AN9" s="2"/>
      <c r="AO9" s="275" t="str">
        <f>CASE_E</f>
        <v>2019 GENERAL RATE CASE</v>
      </c>
      <c r="AP9" s="2"/>
      <c r="AQ9" s="2"/>
      <c r="AR9" s="275"/>
      <c r="AS9" s="275"/>
      <c r="AT9" s="275"/>
      <c r="AU9" s="275"/>
      <c r="AV9" s="275"/>
      <c r="AW9" s="275" t="str">
        <f>CASE_E</f>
        <v>2019 GENERAL RATE CASE</v>
      </c>
      <c r="AX9" s="2"/>
      <c r="AY9" s="2"/>
      <c r="AZ9" s="2"/>
      <c r="BA9" s="2"/>
      <c r="BB9" s="2"/>
      <c r="BC9" s="2"/>
      <c r="BD9" s="2"/>
      <c r="BE9" s="275" t="str">
        <f>CASE_E</f>
        <v>2019 GENERAL RATE CASE</v>
      </c>
      <c r="BF9" s="2"/>
      <c r="BG9" s="2"/>
      <c r="BH9" s="2"/>
      <c r="BI9" s="2"/>
      <c r="BJ9" s="2"/>
      <c r="BK9" s="2"/>
      <c r="BL9" s="2"/>
      <c r="BM9" s="275" t="str">
        <f>CASE_E</f>
        <v>2019 GENERAL RATE CASE</v>
      </c>
      <c r="BN9" s="275"/>
      <c r="BO9" s="2"/>
      <c r="BP9" s="2"/>
      <c r="BQ9" s="2"/>
      <c r="BR9" s="2"/>
      <c r="BS9" s="2"/>
      <c r="BT9" s="2"/>
      <c r="BU9" s="275" t="str">
        <f>CASE_E</f>
        <v>2019 GENERAL RATE CASE</v>
      </c>
      <c r="BV9" s="275"/>
      <c r="BW9" s="2"/>
      <c r="BX9" s="2"/>
      <c r="BY9" s="2"/>
      <c r="BZ9" s="2"/>
      <c r="CA9" s="2"/>
      <c r="CB9" s="2"/>
      <c r="CC9" s="7"/>
      <c r="CD9" s="2"/>
      <c r="CE9" s="2"/>
      <c r="CF9" s="2"/>
      <c r="CG9" s="2"/>
      <c r="CH9" s="2"/>
      <c r="CI9" s="2"/>
      <c r="CJ9" s="2"/>
      <c r="CK9" s="156"/>
      <c r="CL9" s="156"/>
    </row>
    <row r="10" spans="1:90" s="6" customFormat="1" ht="15" thickBot="1" x14ac:dyDescent="0.35">
      <c r="B10" s="275"/>
      <c r="C10" s="2"/>
      <c r="D10" s="2"/>
      <c r="E10" s="2"/>
      <c r="F10" s="277">
        <f>'Detailed Summary'!Y9</f>
        <v>21.01</v>
      </c>
      <c r="H10" s="278">
        <f>'Detailed Summary'!BB9</f>
        <v>21.01</v>
      </c>
      <c r="J10" s="275"/>
      <c r="K10" s="2"/>
      <c r="L10" s="2"/>
      <c r="M10" s="2"/>
      <c r="N10" s="277">
        <f>'Detailed Summary'!Z9</f>
        <v>21.020000000000003</v>
      </c>
      <c r="P10" s="278">
        <f>'Detailed Summary'!BC9</f>
        <v>21.020000000000003</v>
      </c>
      <c r="R10" s="275"/>
      <c r="S10" s="2"/>
      <c r="T10" s="2"/>
      <c r="U10" s="2"/>
      <c r="V10" s="277">
        <f>'Detailed Summary'!AA9</f>
        <v>21.030000000000005</v>
      </c>
      <c r="X10" s="278" t="s">
        <v>455</v>
      </c>
      <c r="Z10" s="275"/>
      <c r="AA10" s="275"/>
      <c r="AB10" s="2"/>
      <c r="AC10" s="2"/>
      <c r="AD10" s="277">
        <f>'Detailed Summary'!AB9</f>
        <v>21.040000000000006</v>
      </c>
      <c r="AE10" s="279"/>
      <c r="AF10" s="278" t="s">
        <v>455</v>
      </c>
      <c r="AG10" s="280"/>
      <c r="AH10" s="280"/>
      <c r="AI10" s="280"/>
      <c r="AJ10" s="280"/>
      <c r="AK10" s="280"/>
      <c r="AL10" s="277">
        <f>'Detailed Summary'!AC9</f>
        <v>21.050000000000008</v>
      </c>
      <c r="AN10" s="278">
        <f>'Detailed Summary'!BD9</f>
        <v>21.050000000000008</v>
      </c>
      <c r="AO10" s="280"/>
      <c r="AP10" s="280"/>
      <c r="AQ10" s="280"/>
      <c r="AR10" s="280"/>
      <c r="AS10" s="280"/>
      <c r="AT10" s="277" t="s">
        <v>455</v>
      </c>
      <c r="AV10" s="278">
        <f>'Detailed Summary'!BE9</f>
        <v>21.060000000000009</v>
      </c>
      <c r="AX10" s="275"/>
      <c r="AY10" s="2"/>
      <c r="AZ10" s="2"/>
      <c r="BA10" s="2"/>
      <c r="BB10" s="277">
        <f>'Detailed Summary'!AD9</f>
        <v>21.070000000000007</v>
      </c>
      <c r="BD10" s="277" t="s">
        <v>455</v>
      </c>
      <c r="BF10" s="275"/>
      <c r="BG10" s="2"/>
      <c r="BH10" s="2"/>
      <c r="BI10" s="2"/>
      <c r="BJ10" s="277" t="s">
        <v>455</v>
      </c>
      <c r="BL10" s="278">
        <f>'Detailed Summary'!BF9</f>
        <v>21.08</v>
      </c>
      <c r="BN10" s="275"/>
      <c r="BO10" s="2"/>
      <c r="BP10" s="2"/>
      <c r="BQ10" s="2"/>
      <c r="BR10" s="277" t="s">
        <v>455</v>
      </c>
      <c r="BT10" s="278">
        <f>'Detailed Summary'!BG9</f>
        <v>21.09</v>
      </c>
      <c r="BV10" s="275"/>
      <c r="BW10" s="2"/>
      <c r="BX10" s="2"/>
      <c r="BY10" s="2"/>
      <c r="BZ10" s="277" t="s">
        <v>455</v>
      </c>
      <c r="CB10" s="278">
        <f>'Detailed Summary'!BH9</f>
        <v>21.1</v>
      </c>
      <c r="CD10" s="275"/>
      <c r="CE10" s="2"/>
      <c r="CF10" s="2"/>
      <c r="CG10" s="2"/>
      <c r="CH10" s="277" t="s">
        <v>455</v>
      </c>
      <c r="CJ10" s="278">
        <f>'Detailed Summary'!BP9</f>
        <v>0</v>
      </c>
      <c r="CK10" s="156"/>
      <c r="CL10" s="156"/>
    </row>
    <row r="11" spans="1:90" s="6" customFormat="1" x14ac:dyDescent="0.3">
      <c r="C11" s="281"/>
      <c r="D11" s="282" t="s">
        <v>256</v>
      </c>
      <c r="E11" s="283"/>
      <c r="F11" s="284" t="s">
        <v>105</v>
      </c>
      <c r="G11" s="283"/>
      <c r="H11" s="284" t="s">
        <v>93</v>
      </c>
      <c r="J11" s="281"/>
      <c r="L11" s="282" t="s">
        <v>256</v>
      </c>
      <c r="M11" s="283"/>
      <c r="N11" s="284" t="s">
        <v>105</v>
      </c>
      <c r="O11" s="283"/>
      <c r="P11" s="284" t="s">
        <v>93</v>
      </c>
      <c r="S11" s="281"/>
      <c r="T11" s="282" t="s">
        <v>256</v>
      </c>
      <c r="U11" s="283"/>
      <c r="V11" s="284" t="s">
        <v>105</v>
      </c>
      <c r="W11" s="283"/>
      <c r="X11" s="284" t="s">
        <v>93</v>
      </c>
      <c r="AA11" s="281"/>
      <c r="AB11" s="282" t="s">
        <v>256</v>
      </c>
      <c r="AC11" s="283"/>
      <c r="AD11" s="284" t="s">
        <v>105</v>
      </c>
      <c r="AE11" s="283"/>
      <c r="AF11" s="284" t="s">
        <v>93</v>
      </c>
      <c r="AG11" s="285"/>
      <c r="AH11" s="286"/>
      <c r="AI11" s="287"/>
      <c r="AJ11" s="282" t="s">
        <v>256</v>
      </c>
      <c r="AK11" s="283"/>
      <c r="AL11" s="284" t="s">
        <v>105</v>
      </c>
      <c r="AM11" s="283"/>
      <c r="AN11" s="284" t="s">
        <v>93</v>
      </c>
      <c r="AO11" s="285"/>
      <c r="AP11" s="286"/>
      <c r="AQ11" s="287"/>
      <c r="AR11" s="282" t="s">
        <v>256</v>
      </c>
      <c r="AS11" s="283"/>
      <c r="AT11" s="284" t="s">
        <v>105</v>
      </c>
      <c r="AU11" s="283"/>
      <c r="AV11" s="284" t="s">
        <v>93</v>
      </c>
      <c r="AY11" s="281"/>
      <c r="AZ11" s="284" t="s">
        <v>526</v>
      </c>
      <c r="BA11" s="284" t="s">
        <v>525</v>
      </c>
      <c r="BB11" s="284" t="s">
        <v>105</v>
      </c>
      <c r="BC11" s="283"/>
      <c r="BD11" s="284" t="s">
        <v>93</v>
      </c>
      <c r="BG11" s="281"/>
      <c r="BH11" s="282" t="s">
        <v>256</v>
      </c>
      <c r="BI11" s="283"/>
      <c r="BJ11" s="284" t="s">
        <v>105</v>
      </c>
      <c r="BK11" s="283"/>
      <c r="BL11" s="284" t="s">
        <v>93</v>
      </c>
      <c r="BO11" s="281"/>
      <c r="BP11" s="282" t="s">
        <v>256</v>
      </c>
      <c r="BQ11" s="283"/>
      <c r="BR11" s="284" t="s">
        <v>105</v>
      </c>
      <c r="BS11" s="283"/>
      <c r="BT11" s="284" t="s">
        <v>93</v>
      </c>
      <c r="BW11" s="281"/>
      <c r="BX11" s="282" t="s">
        <v>256</v>
      </c>
      <c r="BY11" s="283"/>
      <c r="BZ11" s="284" t="s">
        <v>105</v>
      </c>
      <c r="CA11" s="283"/>
      <c r="CB11" s="284" t="s">
        <v>93</v>
      </c>
      <c r="CE11" s="281"/>
      <c r="CF11" s="282" t="s">
        <v>256</v>
      </c>
      <c r="CG11" s="283"/>
      <c r="CH11" s="284" t="s">
        <v>105</v>
      </c>
      <c r="CI11" s="283"/>
      <c r="CJ11" s="284" t="s">
        <v>93</v>
      </c>
      <c r="CK11" s="156"/>
      <c r="CL11" s="156"/>
    </row>
    <row r="12" spans="1:90" s="6" customFormat="1" x14ac:dyDescent="0.3">
      <c r="A12" s="16" t="s">
        <v>43</v>
      </c>
      <c r="B12" s="16"/>
      <c r="C12" s="288"/>
      <c r="D12" s="284" t="s">
        <v>40</v>
      </c>
      <c r="E12" s="284" t="s">
        <v>105</v>
      </c>
      <c r="F12" s="284" t="s">
        <v>52</v>
      </c>
      <c r="G12" s="284" t="s">
        <v>93</v>
      </c>
      <c r="H12" s="284" t="s">
        <v>52</v>
      </c>
      <c r="I12" s="289" t="s">
        <v>43</v>
      </c>
      <c r="J12" s="288"/>
      <c r="L12" s="284" t="s">
        <v>40</v>
      </c>
      <c r="M12" s="284" t="s">
        <v>105</v>
      </c>
      <c r="N12" s="284" t="s">
        <v>52</v>
      </c>
      <c r="O12" s="284" t="s">
        <v>93</v>
      </c>
      <c r="P12" s="284" t="s">
        <v>52</v>
      </c>
      <c r="Q12" s="16" t="s">
        <v>43</v>
      </c>
      <c r="R12" s="16"/>
      <c r="S12" s="288"/>
      <c r="T12" s="284" t="s">
        <v>40</v>
      </c>
      <c r="U12" s="284" t="s">
        <v>105</v>
      </c>
      <c r="V12" s="284" t="s">
        <v>52</v>
      </c>
      <c r="W12" s="284" t="s">
        <v>93</v>
      </c>
      <c r="X12" s="284" t="s">
        <v>52</v>
      </c>
      <c r="Y12" s="16" t="s">
        <v>43</v>
      </c>
      <c r="Z12" s="16"/>
      <c r="AA12" s="288"/>
      <c r="AB12" s="284" t="s">
        <v>40</v>
      </c>
      <c r="AC12" s="284" t="s">
        <v>105</v>
      </c>
      <c r="AD12" s="284" t="s">
        <v>52</v>
      </c>
      <c r="AE12" s="284" t="s">
        <v>93</v>
      </c>
      <c r="AF12" s="284" t="s">
        <v>52</v>
      </c>
      <c r="AG12" s="290" t="s">
        <v>43</v>
      </c>
      <c r="AH12" s="285"/>
      <c r="AI12" s="291"/>
      <c r="AJ12" s="284" t="s">
        <v>40</v>
      </c>
      <c r="AK12" s="284" t="s">
        <v>105</v>
      </c>
      <c r="AL12" s="284" t="s">
        <v>52</v>
      </c>
      <c r="AM12" s="284" t="s">
        <v>93</v>
      </c>
      <c r="AN12" s="284" t="s">
        <v>52</v>
      </c>
      <c r="AO12" s="290" t="s">
        <v>43</v>
      </c>
      <c r="AP12" s="285"/>
      <c r="AQ12" s="291"/>
      <c r="AR12" s="284" t="s">
        <v>40</v>
      </c>
      <c r="AS12" s="284" t="s">
        <v>105</v>
      </c>
      <c r="AT12" s="284" t="s">
        <v>52</v>
      </c>
      <c r="AU12" s="284" t="s">
        <v>93</v>
      </c>
      <c r="AV12" s="284" t="s">
        <v>52</v>
      </c>
      <c r="AW12" s="16" t="s">
        <v>43</v>
      </c>
      <c r="AX12" s="16"/>
      <c r="AY12" s="288"/>
      <c r="AZ12" s="284" t="s">
        <v>527</v>
      </c>
      <c r="BA12" s="284" t="s">
        <v>105</v>
      </c>
      <c r="BB12" s="284" t="s">
        <v>52</v>
      </c>
      <c r="BC12" s="284" t="s">
        <v>93</v>
      </c>
      <c r="BD12" s="284" t="s">
        <v>52</v>
      </c>
      <c r="BE12" s="16" t="s">
        <v>43</v>
      </c>
      <c r="BF12" s="16"/>
      <c r="BG12" s="288"/>
      <c r="BH12" s="284" t="s">
        <v>40</v>
      </c>
      <c r="BI12" s="284" t="s">
        <v>105</v>
      </c>
      <c r="BJ12" s="284" t="s">
        <v>52</v>
      </c>
      <c r="BK12" s="284" t="s">
        <v>93</v>
      </c>
      <c r="BL12" s="284" t="s">
        <v>52</v>
      </c>
      <c r="BM12" s="16" t="s">
        <v>43</v>
      </c>
      <c r="BN12" s="16"/>
      <c r="BO12" s="288"/>
      <c r="BP12" s="284" t="s">
        <v>40</v>
      </c>
      <c r="BQ12" s="284" t="s">
        <v>105</v>
      </c>
      <c r="BR12" s="284" t="s">
        <v>52</v>
      </c>
      <c r="BS12" s="284" t="s">
        <v>93</v>
      </c>
      <c r="BT12" s="284" t="s">
        <v>52</v>
      </c>
      <c r="BU12" s="16" t="s">
        <v>43</v>
      </c>
      <c r="BV12" s="16"/>
      <c r="BW12" s="288"/>
      <c r="BX12" s="284" t="s">
        <v>40</v>
      </c>
      <c r="BY12" s="284" t="s">
        <v>105</v>
      </c>
      <c r="BZ12" s="284" t="s">
        <v>52</v>
      </c>
      <c r="CA12" s="284" t="s">
        <v>93</v>
      </c>
      <c r="CB12" s="284" t="s">
        <v>52</v>
      </c>
      <c r="CC12" s="16" t="s">
        <v>43</v>
      </c>
      <c r="CD12" s="16"/>
      <c r="CE12" s="288"/>
      <c r="CF12" s="284" t="s">
        <v>40</v>
      </c>
      <c r="CG12" s="284" t="s">
        <v>105</v>
      </c>
      <c r="CH12" s="284" t="s">
        <v>52</v>
      </c>
      <c r="CI12" s="284" t="s">
        <v>93</v>
      </c>
      <c r="CJ12" s="284" t="s">
        <v>52</v>
      </c>
      <c r="CK12" s="156"/>
      <c r="CL12" s="156"/>
    </row>
    <row r="13" spans="1:90" s="6" customFormat="1" x14ac:dyDescent="0.3">
      <c r="A13" s="36" t="s">
        <v>44</v>
      </c>
      <c r="B13" s="292" t="s">
        <v>73</v>
      </c>
      <c r="C13" s="293" t="s">
        <v>254</v>
      </c>
      <c r="D13" s="36" t="s">
        <v>257</v>
      </c>
      <c r="E13" s="294" t="s">
        <v>258</v>
      </c>
      <c r="F13" s="36" t="s">
        <v>259</v>
      </c>
      <c r="G13" s="294" t="s">
        <v>260</v>
      </c>
      <c r="H13" s="36" t="s">
        <v>261</v>
      </c>
      <c r="I13" s="292" t="s">
        <v>44</v>
      </c>
      <c r="J13" s="292" t="s">
        <v>73</v>
      </c>
      <c r="K13" s="293" t="s">
        <v>254</v>
      </c>
      <c r="L13" s="36" t="s">
        <v>257</v>
      </c>
      <c r="M13" s="294" t="s">
        <v>258</v>
      </c>
      <c r="N13" s="36" t="s">
        <v>259</v>
      </c>
      <c r="O13" s="294" t="s">
        <v>260</v>
      </c>
      <c r="P13" s="36" t="s">
        <v>261</v>
      </c>
      <c r="Q13" s="36" t="s">
        <v>44</v>
      </c>
      <c r="R13" s="292" t="s">
        <v>73</v>
      </c>
      <c r="S13" s="293" t="s">
        <v>254</v>
      </c>
      <c r="T13" s="36" t="s">
        <v>257</v>
      </c>
      <c r="U13" s="294" t="s">
        <v>258</v>
      </c>
      <c r="V13" s="36" t="s">
        <v>259</v>
      </c>
      <c r="W13" s="294" t="s">
        <v>260</v>
      </c>
      <c r="X13" s="36" t="s">
        <v>261</v>
      </c>
      <c r="Y13" s="36" t="s">
        <v>44</v>
      </c>
      <c r="Z13" s="292" t="s">
        <v>73</v>
      </c>
      <c r="AA13" s="293" t="s">
        <v>254</v>
      </c>
      <c r="AB13" s="36" t="s">
        <v>257</v>
      </c>
      <c r="AC13" s="294" t="s">
        <v>258</v>
      </c>
      <c r="AD13" s="36" t="s">
        <v>259</v>
      </c>
      <c r="AE13" s="294" t="s">
        <v>260</v>
      </c>
      <c r="AF13" s="36" t="s">
        <v>261</v>
      </c>
      <c r="AG13" s="295" t="s">
        <v>44</v>
      </c>
      <c r="AH13" s="296" t="s">
        <v>73</v>
      </c>
      <c r="AI13" s="297" t="s">
        <v>254</v>
      </c>
      <c r="AJ13" s="36" t="s">
        <v>257</v>
      </c>
      <c r="AK13" s="294" t="s">
        <v>258</v>
      </c>
      <c r="AL13" s="36" t="s">
        <v>259</v>
      </c>
      <c r="AM13" s="294" t="s">
        <v>260</v>
      </c>
      <c r="AN13" s="36" t="s">
        <v>261</v>
      </c>
      <c r="AO13" s="295" t="s">
        <v>44</v>
      </c>
      <c r="AP13" s="296" t="s">
        <v>73</v>
      </c>
      <c r="AQ13" s="297" t="s">
        <v>254</v>
      </c>
      <c r="AR13" s="36" t="s">
        <v>257</v>
      </c>
      <c r="AS13" s="294" t="s">
        <v>258</v>
      </c>
      <c r="AT13" s="36" t="s">
        <v>259</v>
      </c>
      <c r="AU13" s="294" t="s">
        <v>260</v>
      </c>
      <c r="AV13" s="36" t="s">
        <v>261</v>
      </c>
      <c r="AW13" s="36" t="s">
        <v>44</v>
      </c>
      <c r="AX13" s="292" t="s">
        <v>73</v>
      </c>
      <c r="AY13" s="293" t="s">
        <v>254</v>
      </c>
      <c r="AZ13" s="36" t="s">
        <v>257</v>
      </c>
      <c r="BA13" s="294" t="s">
        <v>258</v>
      </c>
      <c r="BB13" s="36" t="s">
        <v>259</v>
      </c>
      <c r="BC13" s="294" t="s">
        <v>260</v>
      </c>
      <c r="BD13" s="36" t="s">
        <v>261</v>
      </c>
      <c r="BE13" s="36" t="s">
        <v>44</v>
      </c>
      <c r="BF13" s="292" t="s">
        <v>73</v>
      </c>
      <c r="BG13" s="293" t="s">
        <v>254</v>
      </c>
      <c r="BH13" s="36" t="s">
        <v>257</v>
      </c>
      <c r="BI13" s="294" t="s">
        <v>258</v>
      </c>
      <c r="BJ13" s="36" t="s">
        <v>259</v>
      </c>
      <c r="BK13" s="294" t="s">
        <v>260</v>
      </c>
      <c r="BL13" s="36" t="s">
        <v>261</v>
      </c>
      <c r="BM13" s="36" t="s">
        <v>44</v>
      </c>
      <c r="BN13" s="292" t="s">
        <v>73</v>
      </c>
      <c r="BO13" s="293" t="s">
        <v>254</v>
      </c>
      <c r="BP13" s="36" t="s">
        <v>257</v>
      </c>
      <c r="BQ13" s="294" t="s">
        <v>258</v>
      </c>
      <c r="BR13" s="36" t="s">
        <v>259</v>
      </c>
      <c r="BS13" s="294" t="s">
        <v>260</v>
      </c>
      <c r="BT13" s="36" t="s">
        <v>261</v>
      </c>
      <c r="BU13" s="36" t="s">
        <v>44</v>
      </c>
      <c r="BV13" s="292" t="s">
        <v>73</v>
      </c>
      <c r="BW13" s="293" t="s">
        <v>254</v>
      </c>
      <c r="BX13" s="36" t="s">
        <v>257</v>
      </c>
      <c r="BY13" s="294" t="s">
        <v>258</v>
      </c>
      <c r="BZ13" s="36" t="s">
        <v>259</v>
      </c>
      <c r="CA13" s="294" t="s">
        <v>260</v>
      </c>
      <c r="CB13" s="36" t="s">
        <v>261</v>
      </c>
      <c r="CC13" s="36" t="s">
        <v>44</v>
      </c>
      <c r="CD13" s="292" t="s">
        <v>73</v>
      </c>
      <c r="CE13" s="293" t="s">
        <v>254</v>
      </c>
      <c r="CF13" s="36" t="s">
        <v>257</v>
      </c>
      <c r="CG13" s="294" t="s">
        <v>258</v>
      </c>
      <c r="CH13" s="36" t="s">
        <v>259</v>
      </c>
      <c r="CI13" s="294" t="s">
        <v>260</v>
      </c>
      <c r="CJ13" s="36" t="s">
        <v>261</v>
      </c>
      <c r="CK13" s="156"/>
      <c r="CL13" s="156"/>
    </row>
    <row r="14" spans="1:90" s="6" customFormat="1" x14ac:dyDescent="0.3">
      <c r="Q14" s="298"/>
      <c r="R14" s="299"/>
      <c r="S14" s="299"/>
      <c r="T14" s="298"/>
      <c r="U14" s="298"/>
      <c r="V14" s="298"/>
      <c r="W14" s="298"/>
      <c r="X14" s="298"/>
      <c r="CD14" s="300"/>
      <c r="CE14" s="301"/>
      <c r="CF14" s="301"/>
      <c r="CG14" s="301"/>
      <c r="CH14" s="301"/>
      <c r="CI14" s="301"/>
      <c r="CJ14" s="301"/>
      <c r="CK14" s="156"/>
      <c r="CL14" s="156"/>
    </row>
    <row r="15" spans="1:90" s="6" customFormat="1" x14ac:dyDescent="0.3">
      <c r="A15" s="302">
        <v>1</v>
      </c>
      <c r="B15" s="319" t="s">
        <v>506</v>
      </c>
      <c r="C15" s="319"/>
      <c r="D15" s="304"/>
      <c r="E15" s="305"/>
      <c r="F15" s="305"/>
      <c r="G15" s="201"/>
      <c r="H15" s="305"/>
      <c r="I15" s="7">
        <v>1</v>
      </c>
      <c r="J15" s="316" t="s">
        <v>174</v>
      </c>
      <c r="K15" s="316"/>
      <c r="L15" s="304"/>
      <c r="M15" s="306"/>
      <c r="N15" s="306"/>
      <c r="O15" s="306"/>
      <c r="P15" s="306"/>
      <c r="Q15" s="266">
        <v>1</v>
      </c>
      <c r="R15" s="299" t="s">
        <v>262</v>
      </c>
      <c r="S15" s="299"/>
      <c r="T15" s="304"/>
      <c r="U15" s="12"/>
      <c r="V15" s="12"/>
      <c r="W15" s="12"/>
      <c r="X15" s="12"/>
      <c r="Y15" s="266">
        <v>1</v>
      </c>
      <c r="Z15" s="307" t="s">
        <v>106</v>
      </c>
      <c r="AA15" s="307"/>
      <c r="AB15" s="12">
        <f>+'Detailed Summary'!C40</f>
        <v>-41661500.859999999</v>
      </c>
      <c r="AC15" s="12"/>
      <c r="AD15" s="12">
        <f>AC15-AB15</f>
        <v>41661500.859999999</v>
      </c>
      <c r="AE15" s="12"/>
      <c r="AF15" s="12">
        <f>+AE15-AC15</f>
        <v>0</v>
      </c>
      <c r="AG15" s="7">
        <v>1</v>
      </c>
      <c r="AH15" s="308" t="s">
        <v>388</v>
      </c>
      <c r="AI15" s="11"/>
      <c r="AJ15" s="12">
        <v>9705041.1899999995</v>
      </c>
      <c r="AK15" s="12">
        <v>9826310.9900000002</v>
      </c>
      <c r="AL15" s="12">
        <f>+AK15-AJ15</f>
        <v>121269.80000000075</v>
      </c>
      <c r="AM15" s="12">
        <f>+AK15</f>
        <v>9826310.9900000002</v>
      </c>
      <c r="AN15" s="12">
        <f>+AM15-AK15</f>
        <v>0</v>
      </c>
      <c r="AO15" s="266">
        <v>1</v>
      </c>
      <c r="AP15" s="309" t="s">
        <v>112</v>
      </c>
      <c r="AQ15" s="309"/>
      <c r="AR15" s="310"/>
      <c r="AS15" s="310"/>
      <c r="AT15" s="310"/>
      <c r="AU15" s="310"/>
      <c r="AV15" s="310"/>
      <c r="AW15" s="266">
        <v>1</v>
      </c>
      <c r="AX15" s="372" t="s">
        <v>528</v>
      </c>
      <c r="AY15" s="372"/>
      <c r="AZ15" s="372"/>
      <c r="BA15" s="372"/>
      <c r="BB15" s="650"/>
      <c r="BC15" s="650"/>
      <c r="BD15" s="651"/>
      <c r="BE15" s="6">
        <v>1</v>
      </c>
      <c r="BF15" s="299" t="s">
        <v>401</v>
      </c>
      <c r="BM15" s="7">
        <v>1</v>
      </c>
      <c r="BN15" s="299"/>
      <c r="BO15" s="312"/>
      <c r="BU15" s="266">
        <v>1</v>
      </c>
      <c r="BV15" s="309" t="s">
        <v>432</v>
      </c>
      <c r="CC15" s="313">
        <v>1</v>
      </c>
      <c r="CD15" s="655" t="s">
        <v>772</v>
      </c>
      <c r="CE15" s="655"/>
      <c r="CF15" s="306">
        <v>57000</v>
      </c>
      <c r="CG15" s="656">
        <f>+CF15</f>
        <v>57000</v>
      </c>
      <c r="CH15" s="656">
        <f>CG15-CF15</f>
        <v>0</v>
      </c>
      <c r="CI15" s="656">
        <v>0</v>
      </c>
      <c r="CJ15" s="656">
        <f>CI15-CG15</f>
        <v>-57000</v>
      </c>
      <c r="CK15" s="156"/>
      <c r="CL15" s="156"/>
    </row>
    <row r="16" spans="1:90" s="6" customFormat="1" ht="15" thickBot="1" x14ac:dyDescent="0.35">
      <c r="A16" s="302">
        <f t="shared" ref="A16:A37" si="0">+A15+1</f>
        <v>2</v>
      </c>
      <c r="B16" s="314" t="s">
        <v>507</v>
      </c>
      <c r="C16" s="314"/>
      <c r="D16" s="315">
        <v>79334191.840000004</v>
      </c>
      <c r="E16" s="315">
        <v>79334191.840000004</v>
      </c>
      <c r="F16" s="315">
        <f t="shared" ref="F16:F23" si="1">+E16-D16</f>
        <v>0</v>
      </c>
      <c r="G16" s="315">
        <v>37089392.406405531</v>
      </c>
      <c r="H16" s="315">
        <f t="shared" ref="H16:H23" si="2">+G16-E16</f>
        <v>-42244799.433594473</v>
      </c>
      <c r="I16" s="7">
        <f t="shared" ref="I16:I22" si="3">+I15+1</f>
        <v>2</v>
      </c>
      <c r="J16" s="316" t="s">
        <v>471</v>
      </c>
      <c r="K16" s="317"/>
      <c r="L16" s="315">
        <v>1346484.56</v>
      </c>
      <c r="M16" s="315">
        <v>1433345.375</v>
      </c>
      <c r="N16" s="315">
        <f>+M16-L16</f>
        <v>86860.814999999944</v>
      </c>
      <c r="O16" s="315">
        <v>803077.49817874981</v>
      </c>
      <c r="P16" s="315">
        <f>+O16-M16</f>
        <v>-630267.87682125019</v>
      </c>
      <c r="Q16" s="266">
        <f t="shared" ref="Q16:Q27" si="4">+Q15+1</f>
        <v>2</v>
      </c>
      <c r="R16" s="318" t="s">
        <v>99</v>
      </c>
      <c r="S16" s="318"/>
      <c r="T16" s="315">
        <v>4539000</v>
      </c>
      <c r="U16" s="315">
        <v>0</v>
      </c>
      <c r="V16" s="315">
        <f>U16-T16</f>
        <v>-4539000</v>
      </c>
      <c r="W16" s="315">
        <f>U16</f>
        <v>0</v>
      </c>
      <c r="X16" s="315">
        <f>W16-U16</f>
        <v>0</v>
      </c>
      <c r="Y16" s="266">
        <f t="shared" ref="Y16:Y23" si="5">Y15+1</f>
        <v>2</v>
      </c>
      <c r="Z16" s="319"/>
      <c r="AA16" s="319"/>
      <c r="AB16" s="39"/>
      <c r="AC16" s="39"/>
      <c r="AD16" s="39"/>
      <c r="AE16" s="39"/>
      <c r="AF16" s="39"/>
      <c r="AG16" s="7">
        <v>2</v>
      </c>
      <c r="AH16" s="413"/>
      <c r="AI16" s="413"/>
      <c r="AJ16" s="413"/>
      <c r="AK16" s="413"/>
      <c r="AL16" s="413"/>
      <c r="AM16" s="413"/>
      <c r="AN16" s="413"/>
      <c r="AO16" s="266">
        <f t="shared" ref="AO16:AO47" si="6">AO15+1</f>
        <v>2</v>
      </c>
      <c r="AP16" s="320" t="s">
        <v>113</v>
      </c>
      <c r="AQ16" s="320"/>
      <c r="AR16" s="12">
        <v>45753.08</v>
      </c>
      <c r="AS16" s="12">
        <f t="shared" ref="AS16:AS30" si="7">+AR16</f>
        <v>45753.08</v>
      </c>
      <c r="AT16" s="12">
        <f t="shared" ref="AT16:AT30" si="8">+AS16-AR16</f>
        <v>0</v>
      </c>
      <c r="AU16" s="12">
        <v>45753.145111108061</v>
      </c>
      <c r="AV16" s="12">
        <f t="shared" ref="AV16:AV30" si="9">+AU16-AS16</f>
        <v>6.5111108058772516E-2</v>
      </c>
      <c r="AW16" s="266">
        <f t="shared" ref="AW16:AW35" si="10">AW15+1</f>
        <v>2</v>
      </c>
      <c r="AX16" s="372"/>
      <c r="AY16" s="372"/>
      <c r="AZ16" s="372"/>
      <c r="BA16" s="372"/>
      <c r="BB16" s="650"/>
      <c r="BC16" s="650"/>
      <c r="BD16" s="651"/>
      <c r="BE16" s="6">
        <f t="shared" ref="BE16:BE28" si="11">+BE15+1</f>
        <v>2</v>
      </c>
      <c r="BF16" s="299" t="s">
        <v>263</v>
      </c>
      <c r="BM16" s="7">
        <v>2</v>
      </c>
      <c r="BN16" s="299" t="s">
        <v>263</v>
      </c>
      <c r="BO16" s="321"/>
      <c r="BP16" s="321"/>
      <c r="BQ16" s="321"/>
      <c r="BR16" s="321"/>
      <c r="BS16" s="12"/>
      <c r="BT16" s="321"/>
      <c r="BU16" s="266">
        <f t="shared" ref="BU16:BU29" si="12">BU15+1</f>
        <v>2</v>
      </c>
      <c r="BV16" s="309" t="s">
        <v>457</v>
      </c>
      <c r="CC16" s="313">
        <f t="shared" ref="CC16:CC21" si="13">+CC15+1</f>
        <v>2</v>
      </c>
      <c r="CD16" s="657" t="s">
        <v>773</v>
      </c>
      <c r="CE16" s="658">
        <v>0.21</v>
      </c>
      <c r="CF16" s="659">
        <f>-CF15*CE16</f>
        <v>-11970</v>
      </c>
      <c r="CG16" s="660">
        <f>+CF16</f>
        <v>-11970</v>
      </c>
      <c r="CH16" s="660">
        <f>CG16-CF16</f>
        <v>0</v>
      </c>
      <c r="CI16" s="660">
        <v>0</v>
      </c>
      <c r="CJ16" s="660">
        <f>CI16-CG16</f>
        <v>11970</v>
      </c>
      <c r="CK16" s="156"/>
      <c r="CL16" s="156"/>
    </row>
    <row r="17" spans="1:90" s="6" customFormat="1" ht="15" thickTop="1" x14ac:dyDescent="0.3">
      <c r="A17" s="302">
        <f t="shared" si="0"/>
        <v>3</v>
      </c>
      <c r="B17" s="314" t="s">
        <v>508</v>
      </c>
      <c r="D17" s="322">
        <v>124839938.45000002</v>
      </c>
      <c r="E17" s="322">
        <v>125903300.81000002</v>
      </c>
      <c r="F17" s="322">
        <f t="shared" si="1"/>
        <v>1063362.3599999994</v>
      </c>
      <c r="G17" s="322">
        <v>126925932.5832969</v>
      </c>
      <c r="H17" s="322">
        <f t="shared" si="2"/>
        <v>1022631.7732968777</v>
      </c>
      <c r="I17" s="7">
        <f t="shared" si="3"/>
        <v>3</v>
      </c>
      <c r="J17" s="316" t="s">
        <v>142</v>
      </c>
      <c r="K17" s="316"/>
      <c r="L17" s="23">
        <f>+L16</f>
        <v>1346484.56</v>
      </c>
      <c r="M17" s="23">
        <f>+M16</f>
        <v>1433345.375</v>
      </c>
      <c r="N17" s="23">
        <f>+N16</f>
        <v>86860.814999999944</v>
      </c>
      <c r="O17" s="23">
        <f>+O16</f>
        <v>803077.49817874981</v>
      </c>
      <c r="P17" s="23">
        <f>+P16</f>
        <v>-630267.87682125019</v>
      </c>
      <c r="Q17" s="266">
        <f t="shared" si="4"/>
        <v>3</v>
      </c>
      <c r="R17" s="318" t="s">
        <v>100</v>
      </c>
      <c r="S17" s="318"/>
      <c r="T17" s="324">
        <v>-2120000</v>
      </c>
      <c r="U17" s="324">
        <v>0</v>
      </c>
      <c r="V17" s="324">
        <f>U17-T17</f>
        <v>2120000</v>
      </c>
      <c r="W17" s="324">
        <f>U17</f>
        <v>0</v>
      </c>
      <c r="X17" s="324">
        <f>W17-U17</f>
        <v>0</v>
      </c>
      <c r="Y17" s="266">
        <f t="shared" si="5"/>
        <v>3</v>
      </c>
      <c r="Z17" s="325" t="s">
        <v>107</v>
      </c>
      <c r="AA17" s="325"/>
      <c r="AB17" s="9">
        <f>SUM(AB15:AB16)</f>
        <v>-41661500.859999999</v>
      </c>
      <c r="AC17" s="9">
        <f>SUM(AC15:AC16)</f>
        <v>0</v>
      </c>
      <c r="AD17" s="9">
        <f>SUM(AD15:AD16)</f>
        <v>41661500.859999999</v>
      </c>
      <c r="AE17" s="9">
        <f>SUM(AE15:AE16)</f>
        <v>0</v>
      </c>
      <c r="AF17" s="9">
        <f>SUM(AF15:AF16)</f>
        <v>0</v>
      </c>
      <c r="AG17" s="7">
        <v>3</v>
      </c>
      <c r="AH17" s="326" t="s">
        <v>389</v>
      </c>
      <c r="AI17" s="326"/>
      <c r="AJ17" s="327">
        <v>588691.1</v>
      </c>
      <c r="AK17" s="327">
        <v>481346.42333333328</v>
      </c>
      <c r="AL17" s="327">
        <f>+AK17-AJ17</f>
        <v>-107344.6766666667</v>
      </c>
      <c r="AM17" s="327">
        <f>+AK17</f>
        <v>481346.42333333328</v>
      </c>
      <c r="AN17" s="328">
        <f>+AM17-AK17</f>
        <v>0</v>
      </c>
      <c r="AO17" s="266">
        <f t="shared" si="6"/>
        <v>3</v>
      </c>
      <c r="AP17" s="320" t="s">
        <v>114</v>
      </c>
      <c r="AQ17" s="320"/>
      <c r="AR17" s="192">
        <v>62723.02</v>
      </c>
      <c r="AS17" s="221">
        <f t="shared" si="7"/>
        <v>62723.02</v>
      </c>
      <c r="AT17" s="221">
        <f t="shared" si="8"/>
        <v>0</v>
      </c>
      <c r="AU17" s="192">
        <v>62723.058252429</v>
      </c>
      <c r="AV17" s="192">
        <f t="shared" si="9"/>
        <v>3.8252429003478028E-2</v>
      </c>
      <c r="AW17" s="266">
        <f t="shared" si="10"/>
        <v>3</v>
      </c>
      <c r="AX17" s="329" t="s">
        <v>29</v>
      </c>
      <c r="AY17" s="12"/>
      <c r="BE17" s="6">
        <f t="shared" si="11"/>
        <v>3</v>
      </c>
      <c r="BF17" s="318" t="s">
        <v>99</v>
      </c>
      <c r="BG17" s="318"/>
      <c r="BH17" s="330">
        <v>16990239.199999999</v>
      </c>
      <c r="BI17" s="330">
        <f>+BH17</f>
        <v>16990239.199999999</v>
      </c>
      <c r="BJ17" s="330">
        <f>BI17-BH17</f>
        <v>0</v>
      </c>
      <c r="BK17" s="330">
        <v>0</v>
      </c>
      <c r="BL17" s="330">
        <f>BK17-BI17</f>
        <v>-16990239.199999999</v>
      </c>
      <c r="BM17" s="7">
        <v>4</v>
      </c>
      <c r="BN17" s="318" t="s">
        <v>99</v>
      </c>
      <c r="BO17" s="321"/>
      <c r="BP17" s="330">
        <v>0</v>
      </c>
      <c r="BQ17" s="330">
        <f>+BP17</f>
        <v>0</v>
      </c>
      <c r="BR17" s="330">
        <f>BQ17-BP17</f>
        <v>0</v>
      </c>
      <c r="BS17" s="330">
        <v>36082401.649999999</v>
      </c>
      <c r="BT17" s="330">
        <f>BS17-BR17</f>
        <v>36082401.649999999</v>
      </c>
      <c r="BU17" s="266">
        <f t="shared" si="12"/>
        <v>3</v>
      </c>
      <c r="BV17" s="331" t="s">
        <v>672</v>
      </c>
      <c r="BX17" s="330">
        <v>0</v>
      </c>
      <c r="BY17" s="330">
        <v>0</v>
      </c>
      <c r="BZ17" s="330">
        <v>0</v>
      </c>
      <c r="CA17" s="330">
        <v>9767242.3700000029</v>
      </c>
      <c r="CB17" s="330">
        <f>CA17-BY17</f>
        <v>9767242.3700000029</v>
      </c>
      <c r="CC17" s="313">
        <f t="shared" si="13"/>
        <v>3</v>
      </c>
      <c r="CD17" s="657" t="s">
        <v>95</v>
      </c>
      <c r="CE17" s="657"/>
      <c r="CF17" s="306">
        <f>-CF15-CF16</f>
        <v>-45030</v>
      </c>
      <c r="CG17" s="661">
        <f t="shared" ref="CG17:CJ17" si="14">-CG15-CG16</f>
        <v>-45030</v>
      </c>
      <c r="CH17" s="661">
        <f t="shared" si="14"/>
        <v>0</v>
      </c>
      <c r="CI17" s="661">
        <f t="shared" si="14"/>
        <v>0</v>
      </c>
      <c r="CJ17" s="661">
        <f t="shared" si="14"/>
        <v>45030</v>
      </c>
      <c r="CK17" s="156"/>
      <c r="CL17" s="156"/>
    </row>
    <row r="18" spans="1:90" s="6" customFormat="1" x14ac:dyDescent="0.3">
      <c r="A18" s="302">
        <f t="shared" si="0"/>
        <v>4</v>
      </c>
      <c r="B18" s="314" t="s">
        <v>509</v>
      </c>
      <c r="C18" s="314"/>
      <c r="D18" s="322">
        <v>574163746.96999896</v>
      </c>
      <c r="E18" s="322">
        <v>583907969.91446161</v>
      </c>
      <c r="F18" s="322">
        <f t="shared" si="1"/>
        <v>9744222.944462657</v>
      </c>
      <c r="G18" s="322">
        <v>487088103.68130493</v>
      </c>
      <c r="H18" s="322">
        <f t="shared" si="2"/>
        <v>-96819866.233156681</v>
      </c>
      <c r="I18" s="7">
        <f t="shared" si="3"/>
        <v>4</v>
      </c>
      <c r="J18" s="316" t="s">
        <v>472</v>
      </c>
      <c r="K18" s="332">
        <v>0.95430283896288104</v>
      </c>
      <c r="L18" s="192">
        <v>0</v>
      </c>
      <c r="M18" s="192">
        <v>0</v>
      </c>
      <c r="N18" s="192">
        <f>+M18-L18</f>
        <v>0</v>
      </c>
      <c r="O18" s="192">
        <f>-(1-K18)*O17</f>
        <v>-36698.361759560939</v>
      </c>
      <c r="P18" s="192">
        <f>+O18-M18</f>
        <v>-36698.361759560939</v>
      </c>
      <c r="Q18" s="266">
        <f t="shared" si="4"/>
        <v>4</v>
      </c>
      <c r="R18" s="318" t="s">
        <v>101</v>
      </c>
      <c r="S18" s="318"/>
      <c r="T18" s="324">
        <v>-803628.57</v>
      </c>
      <c r="U18" s="324">
        <v>0</v>
      </c>
      <c r="V18" s="324">
        <f>U18-T18</f>
        <v>803628.57</v>
      </c>
      <c r="W18" s="324">
        <f>U18</f>
        <v>0</v>
      </c>
      <c r="X18" s="324">
        <f>W18-U18</f>
        <v>0</v>
      </c>
      <c r="Y18" s="266">
        <f t="shared" si="5"/>
        <v>4</v>
      </c>
      <c r="Z18" s="316"/>
      <c r="AA18" s="316"/>
      <c r="AB18" s="39"/>
      <c r="AC18" s="39"/>
      <c r="AD18" s="39"/>
      <c r="AE18" s="39"/>
      <c r="AF18" s="39"/>
      <c r="AG18" s="7">
        <v>4</v>
      </c>
      <c r="AH18" s="333"/>
      <c r="AI18" s="1"/>
      <c r="AJ18" s="334"/>
      <c r="AK18" s="334"/>
      <c r="AL18" s="334"/>
      <c r="AM18" s="334"/>
      <c r="AN18" s="335"/>
      <c r="AO18" s="266">
        <f t="shared" si="6"/>
        <v>4</v>
      </c>
      <c r="AP18" s="320" t="s">
        <v>226</v>
      </c>
      <c r="AQ18" s="320"/>
      <c r="AR18" s="192">
        <v>11208560.349999998</v>
      </c>
      <c r="AS18" s="221">
        <f t="shared" si="7"/>
        <v>11208560.349999998</v>
      </c>
      <c r="AT18" s="221">
        <f t="shared" si="8"/>
        <v>0</v>
      </c>
      <c r="AU18" s="192">
        <v>7052483.424195189</v>
      </c>
      <c r="AV18" s="192">
        <f t="shared" si="9"/>
        <v>-4156076.9258048087</v>
      </c>
      <c r="AW18" s="266">
        <f t="shared" si="10"/>
        <v>4</v>
      </c>
      <c r="AX18" s="329" t="s">
        <v>529</v>
      </c>
      <c r="AY18" s="12"/>
      <c r="AZ18" s="12">
        <v>18794237.945987001</v>
      </c>
      <c r="BA18" s="336">
        <v>0</v>
      </c>
      <c r="BB18" s="330">
        <f>BA18-AZ18</f>
        <v>-18794237.945987001</v>
      </c>
      <c r="BC18" s="336">
        <v>0</v>
      </c>
      <c r="BD18" s="12">
        <f>BC18-BA18</f>
        <v>0</v>
      </c>
      <c r="BE18" s="6">
        <f t="shared" si="11"/>
        <v>4</v>
      </c>
      <c r="BF18" s="318" t="s">
        <v>100</v>
      </c>
      <c r="BG18" s="318"/>
      <c r="BH18" s="324">
        <v>-12688074.934416663</v>
      </c>
      <c r="BI18" s="324">
        <f>+BH18</f>
        <v>-12688074.934416663</v>
      </c>
      <c r="BJ18" s="324">
        <f>BI18-BH18</f>
        <v>0</v>
      </c>
      <c r="BK18" s="324">
        <v>0</v>
      </c>
      <c r="BL18" s="324">
        <f>BK18-BI18</f>
        <v>12688074.934416663</v>
      </c>
      <c r="BM18" s="7">
        <v>5</v>
      </c>
      <c r="BN18" s="318" t="s">
        <v>100</v>
      </c>
      <c r="BO18" s="321"/>
      <c r="BP18" s="9">
        <v>0</v>
      </c>
      <c r="BQ18" s="9">
        <f>+BP18</f>
        <v>0</v>
      </c>
      <c r="BR18" s="9">
        <f>BQ18-BP18</f>
        <v>0</v>
      </c>
      <c r="BS18" s="9">
        <v>-1470354.9901012282</v>
      </c>
      <c r="BT18" s="13">
        <f>BS18-BR18</f>
        <v>-1470354.9901012282</v>
      </c>
      <c r="BU18" s="266">
        <f t="shared" si="12"/>
        <v>4</v>
      </c>
      <c r="BV18" s="331" t="s">
        <v>100</v>
      </c>
      <c r="BX18" s="9">
        <v>0</v>
      </c>
      <c r="BY18" s="9">
        <v>0</v>
      </c>
      <c r="BZ18" s="9">
        <v>0</v>
      </c>
      <c r="CA18" s="9">
        <v>-5377313.4895000001</v>
      </c>
      <c r="CB18" s="13">
        <f>CA18-BY18</f>
        <v>-5377313.4895000001</v>
      </c>
      <c r="CC18" s="313">
        <f t="shared" si="13"/>
        <v>4</v>
      </c>
      <c r="CD18" s="657"/>
      <c r="CE18" s="657"/>
      <c r="CF18" s="306"/>
      <c r="CG18" s="661"/>
      <c r="CH18" s="661"/>
      <c r="CI18" s="661"/>
      <c r="CJ18" s="661"/>
      <c r="CK18" s="156"/>
      <c r="CL18" s="156"/>
    </row>
    <row r="19" spans="1:90" s="6" customFormat="1" x14ac:dyDescent="0.3">
      <c r="A19" s="302">
        <f t="shared" si="0"/>
        <v>5</v>
      </c>
      <c r="B19" s="314" t="s">
        <v>510</v>
      </c>
      <c r="C19" s="314"/>
      <c r="D19" s="322">
        <v>17232385.379999902</v>
      </c>
      <c r="E19" s="322">
        <v>11072849.4899999</v>
      </c>
      <c r="F19" s="322">
        <f t="shared" si="1"/>
        <v>-6159535.8900000025</v>
      </c>
      <c r="G19" s="322">
        <v>7832796.3799999999</v>
      </c>
      <c r="H19" s="322">
        <f t="shared" si="2"/>
        <v>-3240053.1099998998</v>
      </c>
      <c r="I19" s="7">
        <f t="shared" si="3"/>
        <v>5</v>
      </c>
      <c r="J19" s="337" t="s">
        <v>670</v>
      </c>
      <c r="K19" s="156"/>
      <c r="L19" s="23">
        <f>SUM(L17:L18)</f>
        <v>1346484.56</v>
      </c>
      <c r="M19" s="23">
        <f>SUM(M17:M18)</f>
        <v>1433345.375</v>
      </c>
      <c r="N19" s="23">
        <f>SUM(N17:N18)</f>
        <v>86860.814999999944</v>
      </c>
      <c r="O19" s="23">
        <f>SUM(O17:O18)</f>
        <v>766379.13641918893</v>
      </c>
      <c r="P19" s="23">
        <f>SUM(P17:P18)</f>
        <v>-666966.23858081107</v>
      </c>
      <c r="Q19" s="266">
        <f t="shared" si="4"/>
        <v>5</v>
      </c>
      <c r="R19" s="338" t="s">
        <v>264</v>
      </c>
      <c r="S19" s="338"/>
      <c r="T19" s="339">
        <f>SUM(T16:T18)</f>
        <v>1615371.4300000002</v>
      </c>
      <c r="U19" s="339">
        <f>SUM(U16:U18)</f>
        <v>0</v>
      </c>
      <c r="V19" s="339">
        <f>SUM(V16:V18)</f>
        <v>-1615371.4300000002</v>
      </c>
      <c r="W19" s="339">
        <f>SUM(W16:W18)</f>
        <v>0</v>
      </c>
      <c r="X19" s="339">
        <f>SUM(X16:X18)</f>
        <v>0</v>
      </c>
      <c r="Y19" s="266">
        <f t="shared" si="5"/>
        <v>5</v>
      </c>
      <c r="Z19" s="316" t="s">
        <v>108</v>
      </c>
      <c r="AA19" s="316"/>
      <c r="AB19" s="9">
        <f>-AB17</f>
        <v>41661500.859999999</v>
      </c>
      <c r="AC19" s="9">
        <f>-AC17</f>
        <v>0</v>
      </c>
      <c r="AD19" s="9">
        <f>-AD17</f>
        <v>-41661500.859999999</v>
      </c>
      <c r="AE19" s="9">
        <f>-AE17</f>
        <v>0</v>
      </c>
      <c r="AF19" s="9">
        <f>-AF17</f>
        <v>0</v>
      </c>
      <c r="AG19" s="7">
        <v>5</v>
      </c>
      <c r="AH19" s="333" t="s">
        <v>476</v>
      </c>
      <c r="AI19" s="1"/>
      <c r="AJ19" s="340">
        <f>SUM(AJ15:AJ17)</f>
        <v>10293732.289999999</v>
      </c>
      <c r="AK19" s="340">
        <f>SUM(AK15:AK17)</f>
        <v>10307657.413333334</v>
      </c>
      <c r="AL19" s="340">
        <f>SUM(AL15:AL17)</f>
        <v>13925.12333333405</v>
      </c>
      <c r="AM19" s="340">
        <f>SUM(AM15:AM17)</f>
        <v>10307657.413333334</v>
      </c>
      <c r="AN19" s="341">
        <f>SUM(AN15:AN17)</f>
        <v>0</v>
      </c>
      <c r="AO19" s="266">
        <f t="shared" si="6"/>
        <v>5</v>
      </c>
      <c r="AP19" s="320" t="s">
        <v>227</v>
      </c>
      <c r="AQ19" s="320"/>
      <c r="AR19" s="192">
        <v>78745060.849999994</v>
      </c>
      <c r="AS19" s="221">
        <f t="shared" si="7"/>
        <v>78745060.849999994</v>
      </c>
      <c r="AT19" s="221">
        <f t="shared" si="8"/>
        <v>0</v>
      </c>
      <c r="AU19" s="192">
        <v>67042925.304987572</v>
      </c>
      <c r="AV19" s="192">
        <f t="shared" si="9"/>
        <v>-11702135.545012422</v>
      </c>
      <c r="AW19" s="266">
        <f t="shared" si="10"/>
        <v>5</v>
      </c>
      <c r="AX19" s="220" t="s">
        <v>530</v>
      </c>
      <c r="AY19" s="342">
        <v>0.21</v>
      </c>
      <c r="AZ19" s="343">
        <f>-AZ18*$AY19</f>
        <v>-3946789.9686572701</v>
      </c>
      <c r="BA19" s="343">
        <f>-BA18*$AY19</f>
        <v>0</v>
      </c>
      <c r="BB19" s="343">
        <f>+BA19-AZ19</f>
        <v>3946789.9686572701</v>
      </c>
      <c r="BC19" s="343">
        <f>BA19</f>
        <v>0</v>
      </c>
      <c r="BD19" s="343">
        <f>-(BD26+BD18)*$AY$18</f>
        <v>0</v>
      </c>
      <c r="BE19" s="6">
        <f t="shared" si="11"/>
        <v>5</v>
      </c>
      <c r="BF19" s="318" t="s">
        <v>101</v>
      </c>
      <c r="BG19" s="318"/>
      <c r="BH19" s="324">
        <v>-980694.34861275041</v>
      </c>
      <c r="BI19" s="324">
        <f>+BH19</f>
        <v>-980694.34861275041</v>
      </c>
      <c r="BJ19" s="324">
        <f>BI19-BH19</f>
        <v>0</v>
      </c>
      <c r="BK19" s="324">
        <v>0</v>
      </c>
      <c r="BL19" s="324">
        <f>BK19-BI19</f>
        <v>980694.34861275041</v>
      </c>
      <c r="BM19" s="7">
        <v>6</v>
      </c>
      <c r="BN19" s="344" t="s">
        <v>430</v>
      </c>
      <c r="BO19" s="321"/>
      <c r="BP19" s="9">
        <v>0</v>
      </c>
      <c r="BQ19" s="9">
        <f>+BP19</f>
        <v>0</v>
      </c>
      <c r="BR19" s="9">
        <f>BQ19-BP19</f>
        <v>0</v>
      </c>
      <c r="BS19" s="9">
        <v>-289654.4889106233</v>
      </c>
      <c r="BT19" s="13">
        <f>BS19-BR19</f>
        <v>-289654.4889106233</v>
      </c>
      <c r="BU19" s="266">
        <f t="shared" si="12"/>
        <v>5</v>
      </c>
      <c r="BV19" s="331" t="s">
        <v>577</v>
      </c>
      <c r="BX19" s="9">
        <v>0</v>
      </c>
      <c r="BY19" s="9">
        <v>0</v>
      </c>
      <c r="BZ19" s="9">
        <v>0</v>
      </c>
      <c r="CA19" s="9">
        <v>-246380.08448666657</v>
      </c>
      <c r="CB19" s="13">
        <f>CA19-BY19</f>
        <v>-246380.08448666657</v>
      </c>
      <c r="CC19" s="313">
        <f t="shared" si="13"/>
        <v>5</v>
      </c>
      <c r="CD19" s="14" t="s">
        <v>74</v>
      </c>
      <c r="CE19" s="14"/>
      <c r="CF19" s="14"/>
      <c r="CG19" s="656"/>
      <c r="CH19" s="656"/>
      <c r="CI19" s="656"/>
      <c r="CJ19" s="656"/>
      <c r="CK19" s="156"/>
      <c r="CL19" s="156"/>
    </row>
    <row r="20" spans="1:90" s="6" customFormat="1" ht="15" thickBot="1" x14ac:dyDescent="0.35">
      <c r="A20" s="302">
        <f t="shared" si="0"/>
        <v>6</v>
      </c>
      <c r="B20" s="6" t="s">
        <v>673</v>
      </c>
      <c r="D20" s="322">
        <v>446665.22</v>
      </c>
      <c r="E20" s="322">
        <v>446665.22</v>
      </c>
      <c r="F20" s="322">
        <f t="shared" si="1"/>
        <v>0</v>
      </c>
      <c r="G20" s="322">
        <v>426928.32671306725</v>
      </c>
      <c r="H20" s="322">
        <f t="shared" si="2"/>
        <v>-19736.893286932725</v>
      </c>
      <c r="I20" s="7">
        <f t="shared" si="3"/>
        <v>6</v>
      </c>
      <c r="J20" s="337"/>
      <c r="K20" s="337"/>
      <c r="Q20" s="266">
        <f t="shared" si="4"/>
        <v>6</v>
      </c>
      <c r="R20" s="338"/>
      <c r="S20" s="338"/>
      <c r="T20" s="11"/>
      <c r="U20" s="11"/>
      <c r="V20" s="310"/>
      <c r="W20" s="11"/>
      <c r="X20" s="11"/>
      <c r="Y20" s="266">
        <f t="shared" si="5"/>
        <v>6</v>
      </c>
      <c r="Z20" s="316"/>
      <c r="AA20" s="316"/>
      <c r="AB20" s="9"/>
      <c r="AC20" s="9"/>
      <c r="AD20" s="9"/>
      <c r="AE20" s="9"/>
      <c r="AF20" s="9"/>
      <c r="AG20" s="7">
        <v>12</v>
      </c>
      <c r="AH20" s="345"/>
      <c r="AI20" s="1"/>
      <c r="AJ20" s="340"/>
      <c r="AK20" s="340"/>
      <c r="AL20" s="340"/>
      <c r="AM20" s="340"/>
      <c r="AN20" s="346"/>
      <c r="AO20" s="266">
        <f t="shared" si="6"/>
        <v>6</v>
      </c>
      <c r="AP20" s="320" t="s">
        <v>228</v>
      </c>
      <c r="AQ20" s="320"/>
      <c r="AR20" s="192">
        <v>18500000</v>
      </c>
      <c r="AS20" s="221">
        <f t="shared" si="7"/>
        <v>18500000</v>
      </c>
      <c r="AT20" s="221">
        <f t="shared" si="8"/>
        <v>0</v>
      </c>
      <c r="AU20" s="192">
        <v>18500000</v>
      </c>
      <c r="AV20" s="192">
        <f t="shared" si="9"/>
        <v>0</v>
      </c>
      <c r="AW20" s="266">
        <f t="shared" si="10"/>
        <v>6</v>
      </c>
      <c r="AX20" s="329" t="s">
        <v>531</v>
      </c>
      <c r="AY20" s="12"/>
      <c r="AZ20" s="343">
        <v>-2160614.81</v>
      </c>
      <c r="BA20" s="343">
        <v>0</v>
      </c>
      <c r="BB20" s="343">
        <f>+BA20-AZ20</f>
        <v>2160614.81</v>
      </c>
      <c r="BC20" s="343">
        <f>BA20</f>
        <v>0</v>
      </c>
      <c r="BD20" s="343">
        <f>+BC20-BA20</f>
        <v>0</v>
      </c>
      <c r="BE20" s="6">
        <f t="shared" si="11"/>
        <v>6</v>
      </c>
      <c r="BF20" s="338" t="s">
        <v>671</v>
      </c>
      <c r="BG20" s="338"/>
      <c r="BH20" s="347">
        <f>SUM(BH17:BH19)</f>
        <v>3321469.9169705859</v>
      </c>
      <c r="BI20" s="347">
        <f>SUM(BI17:BI19)</f>
        <v>3321469.9169705859</v>
      </c>
      <c r="BJ20" s="347">
        <f>SUM(BJ17:BJ19)</f>
        <v>0</v>
      </c>
      <c r="BK20" s="347">
        <f>SUM(BK17:BK19)</f>
        <v>0</v>
      </c>
      <c r="BL20" s="347">
        <f>SUM(BL17:BL19)</f>
        <v>-3321469.9169705859</v>
      </c>
      <c r="BM20" s="7">
        <v>7</v>
      </c>
      <c r="BN20" s="338" t="s">
        <v>431</v>
      </c>
      <c r="BO20" s="321"/>
      <c r="BP20" s="35">
        <f>SUM(BP17:BP19)</f>
        <v>0</v>
      </c>
      <c r="BQ20" s="35">
        <f>SUM(BQ17:BQ19)</f>
        <v>0</v>
      </c>
      <c r="BR20" s="35">
        <f>+BP20</f>
        <v>0</v>
      </c>
      <c r="BS20" s="35">
        <f>SUM(BS17:BS19)</f>
        <v>34322392.17098815</v>
      </c>
      <c r="BT20" s="35">
        <f>SUM(BT17:BT19)</f>
        <v>34322392.17098815</v>
      </c>
      <c r="BU20" s="266">
        <f t="shared" si="12"/>
        <v>6</v>
      </c>
      <c r="BV20" s="320" t="s">
        <v>439</v>
      </c>
      <c r="BX20" s="35">
        <f>SUM(BX17:BX19)</f>
        <v>0</v>
      </c>
      <c r="BY20" s="35">
        <f>SUM(BY17:BY19)</f>
        <v>0</v>
      </c>
      <c r="BZ20" s="35">
        <f>SUM(BZ17:BZ19)</f>
        <v>0</v>
      </c>
      <c r="CA20" s="35">
        <f>SUM(CA17:CA19)</f>
        <v>4143548.7960133362</v>
      </c>
      <c r="CB20" s="35">
        <f>CA20-BY20</f>
        <v>4143548.7960133362</v>
      </c>
      <c r="CC20" s="313">
        <f t="shared" si="13"/>
        <v>6</v>
      </c>
      <c r="CD20" s="14" t="s">
        <v>809</v>
      </c>
      <c r="CE20" s="14"/>
      <c r="CF20" s="198">
        <v>3209000</v>
      </c>
      <c r="CG20" s="661">
        <f>+CF20</f>
        <v>3209000</v>
      </c>
      <c r="CH20" s="14"/>
      <c r="CI20" s="661"/>
      <c r="CJ20" s="661">
        <f>CI20-CG20</f>
        <v>-3209000</v>
      </c>
      <c r="CK20" s="156"/>
      <c r="CL20" s="156"/>
    </row>
    <row r="21" spans="1:90" s="6" customFormat="1" ht="15.6" thickTop="1" thickBot="1" x14ac:dyDescent="0.35">
      <c r="A21" s="302">
        <f t="shared" si="0"/>
        <v>7</v>
      </c>
      <c r="B21" s="314" t="s">
        <v>511</v>
      </c>
      <c r="C21" s="314"/>
      <c r="D21" s="322">
        <v>115807777.5999999</v>
      </c>
      <c r="E21" s="322">
        <v>115807777.5999999</v>
      </c>
      <c r="F21" s="322">
        <f t="shared" si="1"/>
        <v>0</v>
      </c>
      <c r="G21" s="322">
        <v>112486392.77130413</v>
      </c>
      <c r="H21" s="322">
        <f t="shared" si="2"/>
        <v>-3321384.8286957741</v>
      </c>
      <c r="I21" s="7">
        <f t="shared" si="3"/>
        <v>7</v>
      </c>
      <c r="J21" s="337" t="s">
        <v>146</v>
      </c>
      <c r="K21" s="348">
        <v>0.21</v>
      </c>
      <c r="L21" s="221">
        <f>-L19*$K$21</f>
        <v>-282761.75760000001</v>
      </c>
      <c r="M21" s="221">
        <f>-M19*$K$21</f>
        <v>-301002.52875</v>
      </c>
      <c r="N21" s="221">
        <f>-N19*$K$21</f>
        <v>-18240.771149999986</v>
      </c>
      <c r="O21" s="221">
        <f>-O19*$K$21</f>
        <v>-160939.61864802966</v>
      </c>
      <c r="P21" s="221">
        <f>-P19*$K$21</f>
        <v>140062.91010197031</v>
      </c>
      <c r="Q21" s="266">
        <f t="shared" si="4"/>
        <v>7</v>
      </c>
      <c r="R21" s="299" t="s">
        <v>265</v>
      </c>
      <c r="S21" s="299"/>
      <c r="Y21" s="266">
        <f t="shared" si="5"/>
        <v>7</v>
      </c>
      <c r="Z21" s="316" t="s">
        <v>154</v>
      </c>
      <c r="AA21" s="350">
        <f>+FIT_E</f>
        <v>0.21</v>
      </c>
      <c r="AB21" s="9">
        <f>+AB19*$AA21</f>
        <v>8748915.1805999987</v>
      </c>
      <c r="AC21" s="9">
        <f>+AC19*$AA21</f>
        <v>0</v>
      </c>
      <c r="AD21" s="9">
        <f>+AD19*$AA21</f>
        <v>-8748915.1805999987</v>
      </c>
      <c r="AE21" s="9">
        <f>+AE19*$AA21</f>
        <v>0</v>
      </c>
      <c r="AF21" s="9">
        <f>+AF19*$AA21</f>
        <v>0</v>
      </c>
      <c r="AG21" s="7">
        <v>13</v>
      </c>
      <c r="AH21" s="345" t="s">
        <v>390</v>
      </c>
      <c r="AI21" s="1"/>
      <c r="AJ21" s="340">
        <v>25322916</v>
      </c>
      <c r="AK21" s="340">
        <f>+AJ21</f>
        <v>25322916</v>
      </c>
      <c r="AL21" s="340">
        <f>+AK21-AJ21</f>
        <v>0</v>
      </c>
      <c r="AM21" s="340">
        <v>38844187.800000004</v>
      </c>
      <c r="AN21" s="346">
        <f>+AM21-AK21</f>
        <v>13521271.800000004</v>
      </c>
      <c r="AO21" s="266">
        <f t="shared" si="6"/>
        <v>7</v>
      </c>
      <c r="AP21" s="320" t="s">
        <v>229</v>
      </c>
      <c r="AQ21" s="320"/>
      <c r="AR21" s="192">
        <v>499999.67</v>
      </c>
      <c r="AS21" s="221">
        <f t="shared" si="7"/>
        <v>499999.67</v>
      </c>
      <c r="AT21" s="221">
        <f t="shared" si="8"/>
        <v>0</v>
      </c>
      <c r="AU21" s="192">
        <v>0</v>
      </c>
      <c r="AV21" s="192">
        <f t="shared" si="9"/>
        <v>-499999.67</v>
      </c>
      <c r="AW21" s="266">
        <f t="shared" si="10"/>
        <v>7</v>
      </c>
      <c r="AX21" s="329" t="s">
        <v>95</v>
      </c>
      <c r="AY21" s="351"/>
      <c r="AZ21" s="352">
        <f>-SUM(AZ17:AZ20)</f>
        <v>-12686833.16732973</v>
      </c>
      <c r="BA21" s="352">
        <f>-SUM(BA17:BA20)</f>
        <v>0</v>
      </c>
      <c r="BB21" s="352">
        <f>-SUM(BB17:BB20)</f>
        <v>12686833.16732973</v>
      </c>
      <c r="BC21" s="352">
        <f>-SUM(BC17:BC20)</f>
        <v>0</v>
      </c>
      <c r="BD21" s="352">
        <f>-SUM(BD17:BD20)</f>
        <v>0</v>
      </c>
      <c r="BE21" s="6">
        <f t="shared" si="11"/>
        <v>7</v>
      </c>
      <c r="BF21" s="338"/>
      <c r="BG21" s="338"/>
      <c r="BH21" s="353"/>
      <c r="BI21" s="353"/>
      <c r="BJ21" s="353"/>
      <c r="BK21" s="353"/>
      <c r="BL21" s="353"/>
      <c r="BM21" s="7">
        <v>8</v>
      </c>
      <c r="BN21" s="156"/>
      <c r="BO21" s="156"/>
      <c r="BP21" s="205"/>
      <c r="BQ21" s="205"/>
      <c r="BR21" s="205"/>
      <c r="BS21" s="205"/>
      <c r="BT21" s="205"/>
      <c r="BU21" s="266">
        <f t="shared" si="12"/>
        <v>7</v>
      </c>
      <c r="BX21" s="205"/>
      <c r="BY21" s="205"/>
      <c r="BZ21" s="205"/>
      <c r="CA21" s="205"/>
      <c r="CB21" s="205"/>
      <c r="CC21" s="313">
        <f t="shared" si="13"/>
        <v>7</v>
      </c>
      <c r="CD21" s="14" t="s">
        <v>810</v>
      </c>
      <c r="CE21" s="306"/>
      <c r="CF21" s="198">
        <v>-2659000</v>
      </c>
      <c r="CG21" s="660">
        <f>+CF21</f>
        <v>-2659000</v>
      </c>
      <c r="CH21" s="660">
        <f>CG21-CF21</f>
        <v>0</v>
      </c>
      <c r="CI21" s="660"/>
      <c r="CJ21" s="660">
        <f>CI21-CG21</f>
        <v>2659000</v>
      </c>
      <c r="CK21" s="156"/>
      <c r="CL21" s="156"/>
    </row>
    <row r="22" spans="1:90" ht="15.6" thickTop="1" thickBot="1" x14ac:dyDescent="0.35">
      <c r="A22" s="302">
        <f t="shared" si="0"/>
        <v>8</v>
      </c>
      <c r="B22" s="314" t="s">
        <v>512</v>
      </c>
      <c r="C22" s="314"/>
      <c r="D22" s="322">
        <v>-155333122.24000001</v>
      </c>
      <c r="E22" s="322">
        <v>-155333122.24000001</v>
      </c>
      <c r="F22" s="322">
        <f t="shared" si="1"/>
        <v>0</v>
      </c>
      <c r="G22" s="322">
        <v>-9043639.2224400174</v>
      </c>
      <c r="H22" s="322">
        <f t="shared" si="2"/>
        <v>146289483.01756001</v>
      </c>
      <c r="I22" s="7">
        <f t="shared" si="3"/>
        <v>8</v>
      </c>
      <c r="J22" s="337" t="s">
        <v>121</v>
      </c>
      <c r="K22" s="337"/>
      <c r="L22" s="388">
        <f>-L19-L21</f>
        <v>-1063722.8023999999</v>
      </c>
      <c r="M22" s="388">
        <f>-M19-M21</f>
        <v>-1132342.8462499999</v>
      </c>
      <c r="N22" s="388">
        <f>-N19-N21</f>
        <v>-68620.043849999958</v>
      </c>
      <c r="O22" s="388">
        <f>-O19-O21</f>
        <v>-605439.5177711593</v>
      </c>
      <c r="P22" s="388">
        <f>-P19-P21</f>
        <v>526903.32847884076</v>
      </c>
      <c r="Q22" s="266">
        <f t="shared" si="4"/>
        <v>8</v>
      </c>
      <c r="R22" s="355" t="s">
        <v>102</v>
      </c>
      <c r="S22" s="355"/>
      <c r="T22" s="324">
        <v>212064</v>
      </c>
      <c r="U22" s="324">
        <v>0</v>
      </c>
      <c r="V22" s="324">
        <f>U22-T22</f>
        <v>-212064</v>
      </c>
      <c r="W22" s="324">
        <f>U22</f>
        <v>0</v>
      </c>
      <c r="X22" s="324">
        <f>W22-U22</f>
        <v>0</v>
      </c>
      <c r="Y22" s="266">
        <f t="shared" si="5"/>
        <v>8</v>
      </c>
      <c r="Z22" s="1"/>
      <c r="AA22" s="1"/>
      <c r="AB22" s="39"/>
      <c r="AC22" s="39"/>
      <c r="AD22" s="39"/>
      <c r="AE22" s="39"/>
      <c r="AF22" s="39"/>
      <c r="AG22" s="7">
        <v>14</v>
      </c>
      <c r="AH22" s="345"/>
      <c r="AI22" s="1"/>
      <c r="AJ22" s="334"/>
      <c r="AK22" s="334"/>
      <c r="AL22" s="334"/>
      <c r="AM22" s="334"/>
      <c r="AN22" s="334"/>
      <c r="AO22" s="266">
        <f t="shared" si="6"/>
        <v>8</v>
      </c>
      <c r="AP22" s="320" t="s">
        <v>230</v>
      </c>
      <c r="AQ22" s="320"/>
      <c r="AR22" s="192">
        <v>59411377.369999997</v>
      </c>
      <c r="AS22" s="221">
        <f t="shared" si="7"/>
        <v>59411377.369999997</v>
      </c>
      <c r="AT22" s="221">
        <f t="shared" si="8"/>
        <v>0</v>
      </c>
      <c r="AU22" s="192">
        <v>52182863.023084156</v>
      </c>
      <c r="AV22" s="192">
        <f t="shared" si="9"/>
        <v>-7228514.3469158411</v>
      </c>
      <c r="AW22" s="266">
        <f t="shared" si="10"/>
        <v>8</v>
      </c>
      <c r="AX22" s="329"/>
      <c r="AY22" s="351"/>
      <c r="AZ22" s="356"/>
      <c r="BA22" s="356"/>
      <c r="BB22" s="356"/>
      <c r="BC22" s="356"/>
      <c r="BD22" s="356"/>
      <c r="BE22" s="6">
        <f t="shared" si="11"/>
        <v>8</v>
      </c>
      <c r="BF22" s="299" t="s">
        <v>405</v>
      </c>
      <c r="BG22" s="299"/>
      <c r="BH22" s="357"/>
      <c r="BI22" s="357"/>
      <c r="BJ22" s="357"/>
      <c r="BK22" s="357"/>
      <c r="BL22" s="357"/>
      <c r="BM22" s="7">
        <v>9</v>
      </c>
      <c r="BN22" s="309" t="s">
        <v>436</v>
      </c>
      <c r="BO22" s="309"/>
      <c r="BP22" s="205"/>
      <c r="BQ22" s="205"/>
      <c r="BR22" s="205"/>
      <c r="BS22" s="205"/>
      <c r="BT22" s="205"/>
      <c r="BU22" s="266">
        <f t="shared" si="12"/>
        <v>8</v>
      </c>
      <c r="BV22" s="309" t="s">
        <v>436</v>
      </c>
      <c r="BX22" s="205"/>
      <c r="BY22" s="205"/>
      <c r="BZ22" s="205"/>
      <c r="CA22" s="205"/>
      <c r="CB22" s="205"/>
      <c r="CC22" s="313"/>
      <c r="CD22" s="14" t="s">
        <v>774</v>
      </c>
      <c r="CE22" s="14"/>
      <c r="CF22" s="656">
        <f>SUM(CF20:CF21)</f>
        <v>550000</v>
      </c>
      <c r="CG22" s="656">
        <f>SUM(CG20:CG21)</f>
        <v>550000</v>
      </c>
      <c r="CH22" s="656">
        <f t="shared" ref="CH22:CI22" si="15">SUM(CH21:CH21)</f>
        <v>0</v>
      </c>
      <c r="CI22" s="656">
        <f t="shared" si="15"/>
        <v>0</v>
      </c>
      <c r="CJ22" s="656">
        <f>SUM(CJ20:CJ21)</f>
        <v>-550000</v>
      </c>
    </row>
    <row r="23" spans="1:90" ht="15.6" thickTop="1" thickBot="1" x14ac:dyDescent="0.35">
      <c r="A23" s="302">
        <f t="shared" si="0"/>
        <v>9</v>
      </c>
      <c r="B23" s="314" t="s">
        <v>513</v>
      </c>
      <c r="C23" s="314"/>
      <c r="D23" s="322">
        <v>-69470811.980000019</v>
      </c>
      <c r="E23" s="322">
        <v>-69470811.980000019</v>
      </c>
      <c r="F23" s="322">
        <f t="shared" si="1"/>
        <v>0</v>
      </c>
      <c r="G23" s="322">
        <v>-27552250.181711692</v>
      </c>
      <c r="H23" s="322">
        <f t="shared" si="2"/>
        <v>41918561.79828833</v>
      </c>
      <c r="Q23" s="266">
        <f t="shared" si="4"/>
        <v>9</v>
      </c>
      <c r="R23" s="355"/>
      <c r="S23" s="355"/>
      <c r="T23" s="9"/>
      <c r="U23" s="9"/>
      <c r="V23" s="9"/>
      <c r="W23" s="9"/>
      <c r="X23" s="9"/>
      <c r="Y23" s="266">
        <f t="shared" si="5"/>
        <v>9</v>
      </c>
      <c r="Z23" s="316" t="s">
        <v>95</v>
      </c>
      <c r="AA23" s="316"/>
      <c r="AB23" s="40">
        <f>+AB19-AB21</f>
        <v>32912585.679400001</v>
      </c>
      <c r="AC23" s="40">
        <f>+AC19-AC21</f>
        <v>0</v>
      </c>
      <c r="AD23" s="40">
        <f>+AD19-AD21</f>
        <v>-32912585.679400001</v>
      </c>
      <c r="AE23" s="40">
        <f>+AE19-AE21</f>
        <v>0</v>
      </c>
      <c r="AF23" s="40">
        <f>+AF19-AF21</f>
        <v>0</v>
      </c>
      <c r="AG23" s="7">
        <v>15</v>
      </c>
      <c r="AH23" s="345" t="s">
        <v>107</v>
      </c>
      <c r="AI23" s="1"/>
      <c r="AJ23" s="340">
        <f>SUM(AJ19:AJ22)</f>
        <v>35616648.289999999</v>
      </c>
      <c r="AK23" s="340">
        <f>SUM(AK19:AK22)</f>
        <v>35630573.413333334</v>
      </c>
      <c r="AL23" s="340">
        <f>SUM(AL19:AL22)</f>
        <v>13925.12333333405</v>
      </c>
      <c r="AM23" s="340">
        <f>SUM(AM19:AM22)</f>
        <v>49151845.213333338</v>
      </c>
      <c r="AN23" s="340">
        <f>SUM(AN19:AN22)</f>
        <v>13521271.800000004</v>
      </c>
      <c r="AO23" s="266">
        <f t="shared" si="6"/>
        <v>9</v>
      </c>
      <c r="AP23" s="320" t="s">
        <v>231</v>
      </c>
      <c r="AQ23" s="320"/>
      <c r="AR23" s="192">
        <v>8147050.7999999998</v>
      </c>
      <c r="AS23" s="221">
        <f t="shared" si="7"/>
        <v>8147050.7999999998</v>
      </c>
      <c r="AT23" s="221">
        <f t="shared" si="8"/>
        <v>0</v>
      </c>
      <c r="AU23" s="192">
        <v>7424114.27447436</v>
      </c>
      <c r="AV23" s="192">
        <f t="shared" si="9"/>
        <v>-722936.52552563976</v>
      </c>
      <c r="AW23" s="266">
        <f t="shared" si="10"/>
        <v>9</v>
      </c>
      <c r="AX23" s="372" t="s">
        <v>532</v>
      </c>
      <c r="BE23" s="6">
        <f t="shared" si="11"/>
        <v>9</v>
      </c>
      <c r="BF23" s="355" t="s">
        <v>102</v>
      </c>
      <c r="BG23" s="355"/>
      <c r="BH23" s="324">
        <v>5669283.3340000007</v>
      </c>
      <c r="BI23" s="324">
        <f>+BH23</f>
        <v>5669283.3340000007</v>
      </c>
      <c r="BJ23" s="324">
        <f>BI23-BH23</f>
        <v>0</v>
      </c>
      <c r="BK23" s="324">
        <v>0</v>
      </c>
      <c r="BL23" s="324">
        <f>BK23-BI23</f>
        <v>-5669283.3340000007</v>
      </c>
      <c r="BM23" s="7">
        <v>10</v>
      </c>
      <c r="BN23" s="220" t="s">
        <v>102</v>
      </c>
      <c r="BO23" s="220"/>
      <c r="BP23" s="8">
        <v>0</v>
      </c>
      <c r="BQ23" s="8">
        <v>0</v>
      </c>
      <c r="BR23" s="8">
        <f>BQ23-BP23</f>
        <v>0</v>
      </c>
      <c r="BS23" s="8">
        <v>1025230.6113811826</v>
      </c>
      <c r="BT23" s="8">
        <f>BS23-BR23</f>
        <v>1025230.6113811826</v>
      </c>
      <c r="BU23" s="266">
        <f t="shared" si="12"/>
        <v>9</v>
      </c>
      <c r="BV23" s="220" t="s">
        <v>578</v>
      </c>
      <c r="BX23" s="8">
        <v>0</v>
      </c>
      <c r="BY23" s="8">
        <v>0</v>
      </c>
      <c r="BZ23" s="8">
        <v>0</v>
      </c>
      <c r="CA23" s="8">
        <v>3145055.3879999998</v>
      </c>
      <c r="CB23" s="8">
        <f>CA23-BY23</f>
        <v>3145055.3879999998</v>
      </c>
      <c r="CC23" s="313"/>
    </row>
    <row r="24" spans="1:90" ht="15" thickTop="1" x14ac:dyDescent="0.3">
      <c r="A24" s="302">
        <f t="shared" si="0"/>
        <v>10</v>
      </c>
      <c r="B24" s="308" t="s">
        <v>514</v>
      </c>
      <c r="C24" s="319"/>
      <c r="D24" s="358">
        <f>SUM(D16:D23)</f>
        <v>687020771.23999882</v>
      </c>
      <c r="E24" s="358">
        <f>SUM(E16:E23)</f>
        <v>691668820.6544615</v>
      </c>
      <c r="F24" s="358">
        <f>SUM(F16:F23)</f>
        <v>4648049.4144626539</v>
      </c>
      <c r="G24" s="358">
        <f>SUM(G16:G23)</f>
        <v>735253656.74487293</v>
      </c>
      <c r="H24" s="358">
        <f>SUM(H16:H23)</f>
        <v>43584836.09041144</v>
      </c>
      <c r="Q24" s="266">
        <f t="shared" si="4"/>
        <v>10</v>
      </c>
      <c r="R24" s="308" t="s">
        <v>103</v>
      </c>
      <c r="S24" s="308"/>
      <c r="T24" s="339">
        <f>SUM(T22:T23)</f>
        <v>212064</v>
      </c>
      <c r="U24" s="339">
        <f>SUM(U22:U23)</f>
        <v>0</v>
      </c>
      <c r="V24" s="339">
        <f>SUM(V22:V23)</f>
        <v>-212064</v>
      </c>
      <c r="W24" s="339">
        <f>SUM(W22:W23)</f>
        <v>0</v>
      </c>
      <c r="X24" s="339">
        <f>SUM(X22:X23)</f>
        <v>0</v>
      </c>
      <c r="Y24" s="266"/>
      <c r="AG24" s="7">
        <v>16</v>
      </c>
      <c r="AH24" s="345"/>
      <c r="AI24" s="1"/>
      <c r="AJ24" s="340"/>
      <c r="AK24" s="340"/>
      <c r="AL24" s="340"/>
      <c r="AM24" s="340"/>
      <c r="AN24" s="346"/>
      <c r="AO24" s="266">
        <f t="shared" si="6"/>
        <v>10</v>
      </c>
      <c r="AP24" s="320" t="s">
        <v>232</v>
      </c>
      <c r="AQ24" s="320"/>
      <c r="AR24" s="192">
        <v>-78555.81</v>
      </c>
      <c r="AS24" s="221">
        <f t="shared" si="7"/>
        <v>-78555.81</v>
      </c>
      <c r="AT24" s="221">
        <f t="shared" si="8"/>
        <v>0</v>
      </c>
      <c r="AU24" s="192">
        <v>-78558.319307994898</v>
      </c>
      <c r="AV24" s="192">
        <f t="shared" si="9"/>
        <v>-2.5093079949001549</v>
      </c>
      <c r="AW24" s="266">
        <f t="shared" si="10"/>
        <v>10</v>
      </c>
      <c r="AX24" s="372"/>
      <c r="BE24" s="6">
        <f t="shared" si="11"/>
        <v>10</v>
      </c>
      <c r="BF24" s="355"/>
      <c r="BG24" s="355"/>
      <c r="BH24" s="359"/>
      <c r="BI24" s="359"/>
      <c r="BJ24" s="359"/>
      <c r="BK24" s="359"/>
      <c r="BL24" s="359"/>
      <c r="BM24" s="7">
        <v>11</v>
      </c>
      <c r="BN24" s="220" t="s">
        <v>438</v>
      </c>
      <c r="BO24" s="220"/>
      <c r="BP24" s="334">
        <f t="shared" ref="BP24:BQ24" si="16">SUM(BP23)</f>
        <v>0</v>
      </c>
      <c r="BQ24" s="334">
        <f t="shared" si="16"/>
        <v>0</v>
      </c>
      <c r="BR24" s="334">
        <f>SUM(BR23)</f>
        <v>0</v>
      </c>
      <c r="BS24" s="334">
        <f>SUM(BS23)</f>
        <v>1025230.6113811826</v>
      </c>
      <c r="BT24" s="334">
        <f>SUM(BT23)</f>
        <v>1025230.6113811826</v>
      </c>
      <c r="BU24" s="266">
        <f t="shared" si="12"/>
        <v>10</v>
      </c>
      <c r="BV24" s="220" t="s">
        <v>438</v>
      </c>
      <c r="BX24" s="334">
        <f>+BX23</f>
        <v>0</v>
      </c>
      <c r="BY24" s="334">
        <f>+BY23</f>
        <v>0</v>
      </c>
      <c r="BZ24" s="334">
        <f>+BZ23</f>
        <v>0</v>
      </c>
      <c r="CA24" s="334">
        <f>+CA23</f>
        <v>3145055.3879999998</v>
      </c>
      <c r="CB24" s="334">
        <f>+CB23</f>
        <v>3145055.3879999998</v>
      </c>
      <c r="CC24" s="313"/>
    </row>
    <row r="25" spans="1:90" ht="15.6" x14ac:dyDescent="0.3">
      <c r="A25" s="302">
        <f t="shared" si="0"/>
        <v>11</v>
      </c>
      <c r="B25" s="319" t="s">
        <v>334</v>
      </c>
      <c r="C25" s="319"/>
      <c r="D25" s="360"/>
      <c r="E25" s="360"/>
      <c r="F25" s="360"/>
      <c r="G25" s="360"/>
      <c r="H25" s="360"/>
      <c r="Q25" s="266">
        <f t="shared" si="4"/>
        <v>11</v>
      </c>
      <c r="R25" s="308"/>
      <c r="S25" s="308"/>
      <c r="Y25" s="266"/>
      <c r="AG25" s="7">
        <v>19</v>
      </c>
      <c r="AH25" s="345" t="s">
        <v>128</v>
      </c>
      <c r="AI25" s="350">
        <f>+FIT_E</f>
        <v>0.21</v>
      </c>
      <c r="AJ25" s="340">
        <f>-AJ23*$AI25</f>
        <v>-7479496.1409</v>
      </c>
      <c r="AK25" s="340">
        <f>-AK23*$AI25</f>
        <v>-7482420.4167999998</v>
      </c>
      <c r="AL25" s="340">
        <f>-AL23*$AI25</f>
        <v>-2924.2759000001502</v>
      </c>
      <c r="AM25" s="340">
        <f>-AM23*$AI25</f>
        <v>-10321887.494800001</v>
      </c>
      <c r="AN25" s="340">
        <f>-AN23*$AI25</f>
        <v>-2839467.0780000007</v>
      </c>
      <c r="AO25" s="266">
        <f t="shared" si="6"/>
        <v>11</v>
      </c>
      <c r="AP25" s="320" t="s">
        <v>233</v>
      </c>
      <c r="AQ25" s="320"/>
      <c r="AR25" s="192">
        <v>-308479.03999999998</v>
      </c>
      <c r="AS25" s="221">
        <f t="shared" si="7"/>
        <v>-308479.03999999998</v>
      </c>
      <c r="AT25" s="221">
        <f t="shared" si="8"/>
        <v>0</v>
      </c>
      <c r="AU25" s="192">
        <v>-308483.94047545741</v>
      </c>
      <c r="AV25" s="192">
        <f t="shared" si="9"/>
        <v>-4.9004754574270919</v>
      </c>
      <c r="AW25" s="266">
        <f t="shared" si="10"/>
        <v>11</v>
      </c>
      <c r="AX25" s="329" t="s">
        <v>29</v>
      </c>
      <c r="BE25" s="6">
        <f t="shared" si="11"/>
        <v>11</v>
      </c>
      <c r="BF25" s="308" t="s">
        <v>103</v>
      </c>
      <c r="BG25" s="308"/>
      <c r="BH25" s="324">
        <f>SUM(BH23:BH24)</f>
        <v>5669283.3340000007</v>
      </c>
      <c r="BI25" s="324">
        <f>SUM(BI23:BI24)</f>
        <v>5669283.3340000007</v>
      </c>
      <c r="BJ25" s="324">
        <f>SUM(BJ23:BJ24)</f>
        <v>0</v>
      </c>
      <c r="BK25" s="324">
        <f>SUM(BK23:BK24)</f>
        <v>0</v>
      </c>
      <c r="BL25" s="324">
        <f>SUM(BL23:BL24)</f>
        <v>-5669283.3340000007</v>
      </c>
      <c r="BM25" s="7">
        <v>12</v>
      </c>
      <c r="BN25" s="320"/>
      <c r="BO25" s="320"/>
      <c r="BP25" s="362"/>
      <c r="BQ25" s="362"/>
      <c r="BR25" s="652"/>
      <c r="BS25" s="362"/>
      <c r="BT25" s="652"/>
      <c r="BU25" s="266">
        <f t="shared" si="12"/>
        <v>11</v>
      </c>
      <c r="BX25" s="362"/>
      <c r="BY25" s="362"/>
      <c r="BZ25" s="652"/>
      <c r="CA25" s="362"/>
      <c r="CB25" s="652"/>
      <c r="CC25" s="313"/>
    </row>
    <row r="26" spans="1:90" x14ac:dyDescent="0.3">
      <c r="A26" s="302">
        <f t="shared" si="0"/>
        <v>12</v>
      </c>
      <c r="B26" s="319" t="s">
        <v>515</v>
      </c>
      <c r="C26" s="319"/>
      <c r="D26" s="360"/>
      <c r="E26" s="360"/>
      <c r="F26" s="360"/>
      <c r="G26" s="360"/>
      <c r="H26" s="360"/>
      <c r="Q26" s="266">
        <f t="shared" si="4"/>
        <v>12</v>
      </c>
      <c r="R26" s="1" t="s">
        <v>128</v>
      </c>
      <c r="S26" s="364">
        <v>0.21</v>
      </c>
      <c r="T26" s="324">
        <v>-44533.439999999995</v>
      </c>
      <c r="U26" s="324">
        <v>0</v>
      </c>
      <c r="V26" s="324">
        <f>U26-T26</f>
        <v>44533.439999999995</v>
      </c>
      <c r="W26" s="324">
        <f>U26</f>
        <v>0</v>
      </c>
      <c r="X26" s="324">
        <f>W26-U26</f>
        <v>0</v>
      </c>
      <c r="Y26" s="653"/>
      <c r="Z26" s="2"/>
      <c r="AA26" s="2"/>
      <c r="AB26" s="2"/>
      <c r="AC26" s="2"/>
      <c r="AD26" s="2"/>
      <c r="AE26" s="2"/>
      <c r="AF26" s="2"/>
      <c r="AG26" s="7">
        <v>20</v>
      </c>
      <c r="AH26" s="345"/>
      <c r="AI26" s="1"/>
      <c r="AJ26" s="365"/>
      <c r="AK26" s="365"/>
      <c r="AL26" s="365"/>
      <c r="AM26" s="365"/>
      <c r="AN26" s="365"/>
      <c r="AO26" s="266">
        <f t="shared" si="6"/>
        <v>12</v>
      </c>
      <c r="AP26" s="320" t="s">
        <v>234</v>
      </c>
      <c r="AQ26" s="320"/>
      <c r="AR26" s="192">
        <v>1815699.5799999998</v>
      </c>
      <c r="AS26" s="221">
        <f t="shared" si="7"/>
        <v>1815699.5799999998</v>
      </c>
      <c r="AT26" s="221">
        <f t="shared" si="8"/>
        <v>0</v>
      </c>
      <c r="AU26" s="192">
        <v>-1160240.5572003927</v>
      </c>
      <c r="AV26" s="192">
        <f t="shared" si="9"/>
        <v>-2975940.1372003928</v>
      </c>
      <c r="AW26" s="266">
        <f t="shared" si="10"/>
        <v>12</v>
      </c>
      <c r="AX26" s="329" t="s">
        <v>533</v>
      </c>
      <c r="AZ26" s="12">
        <v>23551517.436357476</v>
      </c>
      <c r="BA26" s="336">
        <v>39996900.554010905</v>
      </c>
      <c r="BB26" s="330">
        <f>BA26-AZ26</f>
        <v>16445383.11765343</v>
      </c>
      <c r="BC26" s="336">
        <v>39996900.554010905</v>
      </c>
      <c r="BD26" s="12">
        <f>BC26-BA26</f>
        <v>0</v>
      </c>
      <c r="BE26" s="6">
        <f t="shared" si="11"/>
        <v>12</v>
      </c>
      <c r="BF26" s="308"/>
      <c r="BG26" s="308"/>
      <c r="BH26" s="366"/>
      <c r="BI26" s="366"/>
      <c r="BJ26" s="366"/>
      <c r="BK26" s="366"/>
      <c r="BL26" s="366"/>
      <c r="BM26" s="7">
        <v>13</v>
      </c>
      <c r="BN26" s="319" t="s">
        <v>103</v>
      </c>
      <c r="BO26" s="319"/>
      <c r="BP26" s="346">
        <f t="shared" ref="BP26:BS26" si="17">BP24</f>
        <v>0</v>
      </c>
      <c r="BQ26" s="346">
        <f t="shared" si="17"/>
        <v>0</v>
      </c>
      <c r="BR26" s="346">
        <f t="shared" si="17"/>
        <v>0</v>
      </c>
      <c r="BS26" s="346">
        <f t="shared" si="17"/>
        <v>1025230.6113811826</v>
      </c>
      <c r="BT26" s="346">
        <f>BT24</f>
        <v>1025230.6113811826</v>
      </c>
      <c r="BU26" s="266">
        <f t="shared" si="12"/>
        <v>12</v>
      </c>
      <c r="BV26" s="319" t="s">
        <v>103</v>
      </c>
      <c r="BX26" s="346">
        <f t="shared" ref="BX26:CA26" si="18">+BX24</f>
        <v>0</v>
      </c>
      <c r="BY26" s="346">
        <f t="shared" si="18"/>
        <v>0</v>
      </c>
      <c r="BZ26" s="346">
        <f t="shared" si="18"/>
        <v>0</v>
      </c>
      <c r="CA26" s="346">
        <f t="shared" si="18"/>
        <v>3145055.3879999998</v>
      </c>
      <c r="CB26" s="346">
        <f>+CB24</f>
        <v>3145055.3879999998</v>
      </c>
      <c r="CC26" s="313"/>
    </row>
    <row r="27" spans="1:90" ht="15" thickBot="1" x14ac:dyDescent="0.35">
      <c r="A27" s="302">
        <f t="shared" si="0"/>
        <v>13</v>
      </c>
      <c r="B27" s="367" t="s">
        <v>516</v>
      </c>
      <c r="C27" s="319"/>
      <c r="D27" s="322">
        <v>127167992.89</v>
      </c>
      <c r="E27" s="322">
        <v>127167992.89</v>
      </c>
      <c r="F27" s="322">
        <f>+E27-D27</f>
        <v>0</v>
      </c>
      <c r="G27" s="322">
        <v>108562632.47835678</v>
      </c>
      <c r="H27" s="322">
        <f>+G27-E27</f>
        <v>-18605360.411643222</v>
      </c>
      <c r="I27" s="266"/>
      <c r="Q27" s="266">
        <f t="shared" si="4"/>
        <v>13</v>
      </c>
      <c r="R27" s="316" t="s">
        <v>95</v>
      </c>
      <c r="S27" s="316"/>
      <c r="T27" s="654">
        <f>-T24-T26</f>
        <v>-167530.56</v>
      </c>
      <c r="U27" s="654">
        <f>-U24-U26</f>
        <v>0</v>
      </c>
      <c r="V27" s="654">
        <f>-V24-V26</f>
        <v>167530.56</v>
      </c>
      <c r="W27" s="654">
        <f>-W24-W26</f>
        <v>0</v>
      </c>
      <c r="X27" s="654">
        <f>-X24-X26</f>
        <v>0</v>
      </c>
      <c r="Y27" s="266"/>
      <c r="AG27" s="7">
        <v>21</v>
      </c>
      <c r="AH27" s="345" t="s">
        <v>95</v>
      </c>
      <c r="AI27" s="1"/>
      <c r="AJ27" s="40">
        <f>-SUM(AJ23:AJ26)</f>
        <v>-28137152.149099998</v>
      </c>
      <c r="AK27" s="40">
        <f>-SUM(AK23:AK26)</f>
        <v>-28148152.996533334</v>
      </c>
      <c r="AL27" s="40">
        <f>-SUM(AL23:AL26)</f>
        <v>-11000.8474333339</v>
      </c>
      <c r="AM27" s="40">
        <f>-SUM(AM23:AM26)</f>
        <v>-38829957.718533337</v>
      </c>
      <c r="AN27" s="40">
        <f>-SUM(AN23:AN26)</f>
        <v>-10681804.722000003</v>
      </c>
      <c r="AO27" s="266">
        <f t="shared" si="6"/>
        <v>13</v>
      </c>
      <c r="AP27" s="320" t="s">
        <v>235</v>
      </c>
      <c r="AQ27" s="320"/>
      <c r="AR27" s="192">
        <v>56004.06</v>
      </c>
      <c r="AS27" s="221">
        <f t="shared" si="7"/>
        <v>56004.06</v>
      </c>
      <c r="AT27" s="221">
        <f t="shared" si="8"/>
        <v>0</v>
      </c>
      <c r="AU27" s="192">
        <v>56004.31279906194</v>
      </c>
      <c r="AV27" s="192">
        <f t="shared" si="9"/>
        <v>0.25279906194191426</v>
      </c>
      <c r="AW27" s="266">
        <f t="shared" si="10"/>
        <v>13</v>
      </c>
      <c r="AX27" s="329" t="s">
        <v>534</v>
      </c>
      <c r="AY27" s="342">
        <v>0.21</v>
      </c>
      <c r="AZ27" s="343">
        <f>-AZ26*$AY27</f>
        <v>-4945818.6616350701</v>
      </c>
      <c r="BA27" s="343">
        <f>-BA26*$AY27</f>
        <v>-8399349.1163422894</v>
      </c>
      <c r="BB27" s="343">
        <f>+BA27-AZ27</f>
        <v>-3453530.4547072193</v>
      </c>
      <c r="BC27" s="343">
        <f>BA27</f>
        <v>-8399349.1163422894</v>
      </c>
      <c r="BD27" s="343">
        <f>+BC27-BA27</f>
        <v>0</v>
      </c>
      <c r="BE27" s="6">
        <f t="shared" si="11"/>
        <v>13</v>
      </c>
      <c r="BF27" s="1" t="s">
        <v>242</v>
      </c>
      <c r="BG27" s="369">
        <f>+FIT_E</f>
        <v>0.21</v>
      </c>
      <c r="BH27" s="324">
        <f>+$BG$27*BH25</f>
        <v>1190549.5001400001</v>
      </c>
      <c r="BI27" s="324">
        <f>+$BG$27*BI25</f>
        <v>1190549.5001400001</v>
      </c>
      <c r="BJ27" s="324">
        <f>+$BG$27*BJ25</f>
        <v>0</v>
      </c>
      <c r="BK27" s="324">
        <f>+$BG$27*BK25</f>
        <v>0</v>
      </c>
      <c r="BL27" s="324">
        <f>+$BG$27*BL25</f>
        <v>-1190549.5001400001</v>
      </c>
      <c r="BM27" s="7">
        <v>14</v>
      </c>
      <c r="BN27" s="319"/>
      <c r="BO27" s="319"/>
      <c r="BP27" s="346"/>
      <c r="BQ27" s="346"/>
      <c r="BR27" s="346"/>
      <c r="BS27" s="346"/>
      <c r="BT27" s="346"/>
      <c r="BU27" s="266">
        <f t="shared" si="12"/>
        <v>13</v>
      </c>
      <c r="BV27" s="319"/>
      <c r="BX27" s="346"/>
      <c r="BY27" s="346"/>
      <c r="BZ27" s="346"/>
      <c r="CA27" s="346"/>
      <c r="CB27" s="346"/>
      <c r="CC27" s="313"/>
    </row>
    <row r="28" spans="1:90" ht="15.6" thickTop="1" thickBot="1" x14ac:dyDescent="0.35">
      <c r="A28" s="302">
        <f t="shared" si="0"/>
        <v>14</v>
      </c>
      <c r="B28" s="308" t="s">
        <v>517</v>
      </c>
      <c r="C28" s="319"/>
      <c r="D28" s="322">
        <v>876514.03</v>
      </c>
      <c r="E28" s="322">
        <v>876514.03</v>
      </c>
      <c r="F28" s="322">
        <f>+E28-D28</f>
        <v>0</v>
      </c>
      <c r="G28" s="322">
        <v>876514.03</v>
      </c>
      <c r="H28" s="322">
        <f>+G28-E28</f>
        <v>0</v>
      </c>
      <c r="I28" s="266"/>
      <c r="AG28" s="266"/>
      <c r="AO28" s="266">
        <f t="shared" si="6"/>
        <v>14</v>
      </c>
      <c r="AP28" s="320" t="s">
        <v>236</v>
      </c>
      <c r="AQ28" s="320"/>
      <c r="AR28" s="192">
        <v>193459.84</v>
      </c>
      <c r="AS28" s="221">
        <f t="shared" si="7"/>
        <v>193459.84</v>
      </c>
      <c r="AT28" s="221">
        <f t="shared" si="8"/>
        <v>0</v>
      </c>
      <c r="AU28" s="192">
        <v>193459.2403868956</v>
      </c>
      <c r="AV28" s="192">
        <f t="shared" si="9"/>
        <v>-0.59961310439393856</v>
      </c>
      <c r="AW28" s="266">
        <f t="shared" si="10"/>
        <v>14</v>
      </c>
      <c r="AX28" s="329" t="s">
        <v>552</v>
      </c>
      <c r="AY28" s="342">
        <v>0.12000000000000002</v>
      </c>
      <c r="AZ28" s="343">
        <f>-AZ26*$AY28</f>
        <v>-2826182.0923628975</v>
      </c>
      <c r="BA28" s="343">
        <f>-BA26*$AY28</f>
        <v>-4799628.0664813099</v>
      </c>
      <c r="BB28" s="343">
        <f>+BA28-AZ28</f>
        <v>-1973445.9741184125</v>
      </c>
      <c r="BC28" s="343">
        <f>-BC26*$AY28</f>
        <v>-4799628.0664813099</v>
      </c>
      <c r="BD28" s="343">
        <f>+BC28-BA28</f>
        <v>0</v>
      </c>
      <c r="BE28" s="6">
        <f t="shared" si="11"/>
        <v>14</v>
      </c>
      <c r="BF28" s="316" t="s">
        <v>95</v>
      </c>
      <c r="BG28" s="316"/>
      <c r="BH28" s="654">
        <f>-BH25--BH27</f>
        <v>-4478733.8338600006</v>
      </c>
      <c r="BI28" s="654">
        <f>-BI25--BI27</f>
        <v>-4478733.8338600006</v>
      </c>
      <c r="BJ28" s="654">
        <f>-BJ25--BJ27</f>
        <v>0</v>
      </c>
      <c r="BK28" s="654">
        <f>-BK25--BK27</f>
        <v>0</v>
      </c>
      <c r="BL28" s="654">
        <f>-BL25--BL27</f>
        <v>4478733.8338600006</v>
      </c>
      <c r="BM28" s="7">
        <v>15</v>
      </c>
      <c r="BN28" s="319" t="s">
        <v>128</v>
      </c>
      <c r="BO28" s="370">
        <f>FIT_E</f>
        <v>0.21</v>
      </c>
      <c r="BP28" s="371">
        <f t="shared" ref="BP28:BS28" si="19">-BP26*$BO$28</f>
        <v>0</v>
      </c>
      <c r="BQ28" s="371">
        <f t="shared" si="19"/>
        <v>0</v>
      </c>
      <c r="BR28" s="371">
        <f t="shared" si="19"/>
        <v>0</v>
      </c>
      <c r="BS28" s="371">
        <f t="shared" si="19"/>
        <v>-215298.42839004833</v>
      </c>
      <c r="BT28" s="371">
        <f>-BT26*$BO$28</f>
        <v>-215298.42839004833</v>
      </c>
      <c r="BU28" s="266">
        <f t="shared" si="12"/>
        <v>14</v>
      </c>
      <c r="BV28" s="319" t="s">
        <v>128</v>
      </c>
      <c r="BW28" s="369">
        <f>+FIT_E</f>
        <v>0.21</v>
      </c>
      <c r="BX28" s="371">
        <f t="shared" ref="BX28:CA28" si="20">-BX26*$BW$28</f>
        <v>0</v>
      </c>
      <c r="BY28" s="371">
        <f t="shared" si="20"/>
        <v>0</v>
      </c>
      <c r="BZ28" s="371">
        <f t="shared" si="20"/>
        <v>0</v>
      </c>
      <c r="CA28" s="371">
        <f t="shared" si="20"/>
        <v>-660461.63147999998</v>
      </c>
      <c r="CB28" s="371">
        <f>-CB26*$BW$28</f>
        <v>-660461.63147999998</v>
      </c>
      <c r="CC28" s="313"/>
    </row>
    <row r="29" spans="1:90" ht="15.6" thickTop="1" thickBot="1" x14ac:dyDescent="0.35">
      <c r="A29" s="302">
        <f t="shared" si="0"/>
        <v>15</v>
      </c>
      <c r="B29" s="308" t="s">
        <v>518</v>
      </c>
      <c r="C29" s="319"/>
      <c r="D29" s="322">
        <v>-7201724.9500000002</v>
      </c>
      <c r="E29" s="322">
        <v>-7201724.9500000002</v>
      </c>
      <c r="F29" s="322">
        <f>+E29-D29</f>
        <v>0</v>
      </c>
      <c r="G29" s="322">
        <v>-8666881.7085096519</v>
      </c>
      <c r="H29" s="322">
        <f>+G29-E29</f>
        <v>-1465156.7585096518</v>
      </c>
      <c r="I29" s="266"/>
      <c r="AG29" s="266"/>
      <c r="AO29" s="266">
        <f t="shared" si="6"/>
        <v>15</v>
      </c>
      <c r="AP29" s="320" t="s">
        <v>237</v>
      </c>
      <c r="AQ29" s="320"/>
      <c r="AR29" s="192">
        <v>-530083.09</v>
      </c>
      <c r="AS29" s="221">
        <f t="shared" si="7"/>
        <v>-530083.09</v>
      </c>
      <c r="AT29" s="221">
        <f t="shared" si="8"/>
        <v>0</v>
      </c>
      <c r="AU29" s="192">
        <v>-530083.1594999989</v>
      </c>
      <c r="AV29" s="192">
        <f t="shared" si="9"/>
        <v>-6.9499998935498297E-2</v>
      </c>
      <c r="AW29" s="266">
        <f t="shared" si="10"/>
        <v>15</v>
      </c>
      <c r="AX29" s="329" t="s">
        <v>95</v>
      </c>
      <c r="AY29" s="12"/>
      <c r="AZ29" s="35">
        <f>-AZ26-AZ27-AZ28</f>
        <v>-15779516.682359507</v>
      </c>
      <c r="BA29" s="35">
        <f>-BA26-BA27-BA28</f>
        <v>-26797923.371187303</v>
      </c>
      <c r="BB29" s="35">
        <f>-BB26-BB27-BB28</f>
        <v>-11018406.688827798</v>
      </c>
      <c r="BC29" s="35">
        <f>-BC26-BC27-BC28</f>
        <v>-26797923.371187303</v>
      </c>
      <c r="BD29" s="35">
        <f>-BD26-BD27-BD28</f>
        <v>0</v>
      </c>
      <c r="BM29" s="7">
        <v>16</v>
      </c>
      <c r="BN29" s="319" t="s">
        <v>95</v>
      </c>
      <c r="BO29" s="319"/>
      <c r="BP29" s="352">
        <f t="shared" ref="BP29:BS29" si="21">-BP26-BP28</f>
        <v>0</v>
      </c>
      <c r="BQ29" s="352">
        <f t="shared" si="21"/>
        <v>0</v>
      </c>
      <c r="BR29" s="352">
        <f t="shared" si="21"/>
        <v>0</v>
      </c>
      <c r="BS29" s="352">
        <f t="shared" si="21"/>
        <v>-809932.18299113424</v>
      </c>
      <c r="BT29" s="352">
        <f>-BT26-BT28</f>
        <v>-809932.18299113424</v>
      </c>
      <c r="BU29" s="266">
        <f t="shared" si="12"/>
        <v>15</v>
      </c>
      <c r="BV29" s="319" t="s">
        <v>95</v>
      </c>
      <c r="BX29" s="352">
        <f t="shared" ref="BX29:CA29" si="22">-BX26-BX28</f>
        <v>0</v>
      </c>
      <c r="BY29" s="352">
        <f t="shared" si="22"/>
        <v>0</v>
      </c>
      <c r="BZ29" s="352">
        <f t="shared" si="22"/>
        <v>0</v>
      </c>
      <c r="CA29" s="352">
        <f t="shared" si="22"/>
        <v>-2484593.7565199998</v>
      </c>
      <c r="CB29" s="352">
        <f>-CB26-CB28</f>
        <v>-2484593.7565199998</v>
      </c>
      <c r="CC29" s="313"/>
    </row>
    <row r="30" spans="1:90" ht="15" thickTop="1" x14ac:dyDescent="0.3">
      <c r="A30" s="302">
        <f t="shared" si="0"/>
        <v>16</v>
      </c>
      <c r="B30" s="308" t="s">
        <v>519</v>
      </c>
      <c r="C30" s="319"/>
      <c r="D30" s="322">
        <v>0</v>
      </c>
      <c r="E30" s="322">
        <v>4958988.8</v>
      </c>
      <c r="F30" s="322">
        <f>+E30-D30</f>
        <v>4958988.8</v>
      </c>
      <c r="G30" s="322">
        <v>3913502.79561463</v>
      </c>
      <c r="H30" s="322">
        <f>+G30-E30</f>
        <v>-1045486.0043853698</v>
      </c>
      <c r="I30" s="266"/>
      <c r="AG30" s="266"/>
      <c r="AO30" s="266">
        <f t="shared" si="6"/>
        <v>16</v>
      </c>
      <c r="AP30" s="320" t="s">
        <v>347</v>
      </c>
      <c r="AQ30" s="320"/>
      <c r="AR30" s="186">
        <v>-5453015.8817438316</v>
      </c>
      <c r="AS30" s="221">
        <f t="shared" si="7"/>
        <v>-5453015.8817438316</v>
      </c>
      <c r="AT30" s="221">
        <f t="shared" si="8"/>
        <v>0</v>
      </c>
      <c r="AU30" s="192">
        <v>-1559296.9123478986</v>
      </c>
      <c r="AV30" s="192">
        <f t="shared" si="9"/>
        <v>3893718.9693959327</v>
      </c>
      <c r="AW30" s="266">
        <f t="shared" si="10"/>
        <v>16</v>
      </c>
      <c r="AX30" s="329"/>
      <c r="BM30" s="192"/>
      <c r="BU30" s="266"/>
      <c r="CC30" s="313"/>
    </row>
    <row r="31" spans="1:90" x14ac:dyDescent="0.3">
      <c r="A31" s="302">
        <f t="shared" si="0"/>
        <v>17</v>
      </c>
      <c r="B31" s="308" t="s">
        <v>514</v>
      </c>
      <c r="C31" s="319"/>
      <c r="D31" s="358">
        <f>SUM(D24:D30)</f>
        <v>807863553.20999873</v>
      </c>
      <c r="E31" s="358">
        <f>SUM(E24:E30)</f>
        <v>817470591.42446136</v>
      </c>
      <c r="F31" s="358">
        <f>SUM(F24:F30)</f>
        <v>9607038.2144626528</v>
      </c>
      <c r="G31" s="358">
        <f>SUM(G24:G30)</f>
        <v>839939424.34033453</v>
      </c>
      <c r="H31" s="358">
        <f>SUM(H24:H30)</f>
        <v>22468832.915873196</v>
      </c>
      <c r="I31" s="266"/>
      <c r="AG31" s="266"/>
      <c r="AO31" s="266">
        <f t="shared" si="6"/>
        <v>17</v>
      </c>
      <c r="AP31" s="320" t="s">
        <v>238</v>
      </c>
      <c r="AQ31" s="320"/>
      <c r="AR31" s="310">
        <f>SUM(AR16:AR30)</f>
        <v>172315554.79825622</v>
      </c>
      <c r="AS31" s="34">
        <f>SUM(AS16:AS30)</f>
        <v>172315554.79825622</v>
      </c>
      <c r="AT31" s="34">
        <f>SUM(AT16:AT30)</f>
        <v>0</v>
      </c>
      <c r="AU31" s="34">
        <f>SUM(AU16:AU30)</f>
        <v>148923662.89445901</v>
      </c>
      <c r="AV31" s="34">
        <f>SUM(AV16:AV30)</f>
        <v>-23391891.903797135</v>
      </c>
      <c r="AW31" s="266">
        <f t="shared" si="10"/>
        <v>17</v>
      </c>
      <c r="AX31" s="329" t="s">
        <v>74</v>
      </c>
      <c r="BF31" s="310"/>
      <c r="BG31" s="310"/>
      <c r="BH31" s="310"/>
      <c r="BI31" s="310"/>
      <c r="BJ31" s="310"/>
      <c r="BK31" s="310"/>
      <c r="BL31" s="310"/>
      <c r="BM31" s="310"/>
      <c r="BN31" s="310"/>
      <c r="BO31" s="310"/>
      <c r="BP31" s="310"/>
      <c r="BQ31" s="310"/>
      <c r="BR31" s="310"/>
      <c r="BS31" s="310"/>
      <c r="BT31" s="310"/>
      <c r="BU31" s="266"/>
      <c r="BV31" s="310"/>
      <c r="BW31" s="310"/>
      <c r="BX31" s="310"/>
      <c r="BY31" s="310"/>
      <c r="BZ31" s="310"/>
      <c r="CA31" s="310"/>
      <c r="CB31" s="310"/>
      <c r="CC31" s="313"/>
    </row>
    <row r="32" spans="1:90" x14ac:dyDescent="0.3">
      <c r="A32" s="302">
        <f t="shared" si="0"/>
        <v>18</v>
      </c>
      <c r="B32" s="372" t="s">
        <v>334</v>
      </c>
      <c r="C32" s="372"/>
      <c r="D32" s="372"/>
      <c r="E32" s="372"/>
      <c r="F32" s="372"/>
      <c r="G32" s="372"/>
      <c r="H32" s="372">
        <f>+G32-E32</f>
        <v>0</v>
      </c>
      <c r="I32" s="266"/>
      <c r="AG32" s="266"/>
      <c r="AO32" s="266">
        <f t="shared" si="6"/>
        <v>18</v>
      </c>
      <c r="AP32" s="1"/>
      <c r="AQ32" s="1"/>
      <c r="AR32" s="1"/>
      <c r="AS32" s="221">
        <f>+AR32</f>
        <v>0</v>
      </c>
      <c r="AU32" s="1"/>
      <c r="AV32" s="1"/>
      <c r="AW32" s="266">
        <f t="shared" si="10"/>
        <v>18</v>
      </c>
      <c r="AX32" s="329" t="s">
        <v>535</v>
      </c>
      <c r="AY32" s="310"/>
      <c r="AZ32" s="343">
        <f t="shared" ref="AZ32:BA34" si="23">-AZ26</f>
        <v>-23551517.436357476</v>
      </c>
      <c r="BA32" s="343">
        <f t="shared" si="23"/>
        <v>-39996900.554010905</v>
      </c>
      <c r="BB32" s="330">
        <f>BA32-AZ32</f>
        <v>-16445383.11765343</v>
      </c>
      <c r="BC32" s="343">
        <f>-BC26</f>
        <v>-39996900.554010905</v>
      </c>
      <c r="BD32" s="343">
        <f>-BD26</f>
        <v>0</v>
      </c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313"/>
    </row>
    <row r="33" spans="1:81" x14ac:dyDescent="0.3">
      <c r="A33" s="302">
        <f t="shared" si="0"/>
        <v>19</v>
      </c>
      <c r="B33" s="373" t="s">
        <v>520</v>
      </c>
      <c r="C33" s="372">
        <f>+'COC, Def, ConvF'!$L$14</f>
        <v>3.8733999999999998E-2</v>
      </c>
      <c r="D33" s="374">
        <f>-$C$33*D29</f>
        <v>278951.6142133</v>
      </c>
      <c r="E33" s="374">
        <f>-$C$33*E29</f>
        <v>278951.6142133</v>
      </c>
      <c r="F33" s="374">
        <f>-$C$33*F29</f>
        <v>0</v>
      </c>
      <c r="G33" s="374">
        <f>-$C$33*G29</f>
        <v>335702.99609741283</v>
      </c>
      <c r="H33" s="374">
        <f>-$C$33*H29</f>
        <v>56751.381884112845</v>
      </c>
      <c r="I33" s="266"/>
      <c r="AG33" s="266"/>
      <c r="AO33" s="266">
        <f t="shared" si="6"/>
        <v>19</v>
      </c>
      <c r="AP33" s="1"/>
      <c r="AQ33" s="1"/>
      <c r="AR33" s="1"/>
      <c r="AS33" s="221">
        <f>+AR33</f>
        <v>0</v>
      </c>
      <c r="AU33" s="1"/>
      <c r="AV33" s="1"/>
      <c r="AW33" s="266">
        <f t="shared" si="10"/>
        <v>19</v>
      </c>
      <c r="AX33" s="375" t="s">
        <v>536</v>
      </c>
      <c r="AY33" s="1"/>
      <c r="AZ33" s="9">
        <f t="shared" si="23"/>
        <v>4945818.6616350701</v>
      </c>
      <c r="BA33" s="9">
        <f t="shared" si="23"/>
        <v>8399349.1163422894</v>
      </c>
      <c r="BB33" s="9">
        <f>+BA33-AZ33</f>
        <v>3453530.4547072193</v>
      </c>
      <c r="BC33" s="9">
        <f>BA33</f>
        <v>8399349.1163422894</v>
      </c>
      <c r="BD33" s="9">
        <f>+BC33-BA33</f>
        <v>0</v>
      </c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313"/>
    </row>
    <row r="34" spans="1:81" x14ac:dyDescent="0.3">
      <c r="A34" s="302">
        <f t="shared" si="0"/>
        <v>20</v>
      </c>
      <c r="B34" s="308" t="s">
        <v>521</v>
      </c>
      <c r="C34" s="372"/>
      <c r="D34" s="376">
        <f>SUM(D31:D33)</f>
        <v>808142504.82421207</v>
      </c>
      <c r="E34" s="376">
        <f>SUM(E31:E33)</f>
        <v>817749543.03867471</v>
      </c>
      <c r="F34" s="376">
        <f>SUM(F31:F33)</f>
        <v>9607038.2144626528</v>
      </c>
      <c r="G34" s="376">
        <f>SUM(G31:G33)</f>
        <v>840275127.33643198</v>
      </c>
      <c r="H34" s="376">
        <f>SUM(H31:H33)</f>
        <v>22525584.297757309</v>
      </c>
      <c r="I34" s="266"/>
      <c r="AG34" s="266"/>
      <c r="AO34" s="266">
        <f t="shared" si="6"/>
        <v>20</v>
      </c>
      <c r="AP34" s="377" t="s">
        <v>115</v>
      </c>
      <c r="AQ34" s="377"/>
      <c r="AR34" s="192"/>
      <c r="AS34" s="221">
        <f>+AR34</f>
        <v>0</v>
      </c>
      <c r="AU34" s="192"/>
      <c r="AV34" s="192"/>
      <c r="AW34" s="266">
        <f t="shared" si="10"/>
        <v>20</v>
      </c>
      <c r="AX34" s="375" t="s">
        <v>553</v>
      </c>
      <c r="AZ34" s="9">
        <f t="shared" si="23"/>
        <v>2826182.0923628975</v>
      </c>
      <c r="BA34" s="9">
        <f t="shared" si="23"/>
        <v>4799628.0664813099</v>
      </c>
      <c r="BB34" s="9">
        <f>+BA34-AZ34</f>
        <v>1973445.9741184125</v>
      </c>
      <c r="BC34" s="9">
        <f>BA34</f>
        <v>4799628.0664813099</v>
      </c>
      <c r="BD34" s="9">
        <f>+BC34-BA34</f>
        <v>0</v>
      </c>
      <c r="BF34" s="192"/>
      <c r="BG34" s="192"/>
      <c r="BH34" s="192"/>
      <c r="BI34" s="192"/>
      <c r="BJ34" s="192"/>
      <c r="BK34" s="192"/>
      <c r="BL34" s="192"/>
      <c r="BM34" s="192"/>
      <c r="BN34" s="192"/>
      <c r="BO34" s="192"/>
      <c r="BP34" s="192"/>
      <c r="BQ34" s="192"/>
      <c r="BR34" s="192"/>
      <c r="BS34" s="192"/>
      <c r="BT34" s="192"/>
      <c r="BU34" s="192"/>
      <c r="BV34" s="192"/>
      <c r="BW34" s="192"/>
      <c r="BX34" s="192"/>
      <c r="BY34" s="192"/>
      <c r="BZ34" s="192"/>
      <c r="CA34" s="192"/>
      <c r="CB34" s="192"/>
      <c r="CC34" s="313"/>
    </row>
    <row r="35" spans="1:81" ht="15" thickBot="1" x14ac:dyDescent="0.35">
      <c r="A35" s="302">
        <f t="shared" si="0"/>
        <v>21</v>
      </c>
      <c r="B35" s="373" t="s">
        <v>334</v>
      </c>
      <c r="C35" s="372"/>
      <c r="D35" s="378"/>
      <c r="E35" s="378"/>
      <c r="F35" s="378"/>
      <c r="G35" s="378"/>
      <c r="H35" s="378"/>
      <c r="I35" s="266"/>
      <c r="AG35" s="266"/>
      <c r="AO35" s="266">
        <f t="shared" si="6"/>
        <v>21</v>
      </c>
      <c r="AP35" s="320" t="s">
        <v>113</v>
      </c>
      <c r="AQ35" s="320"/>
      <c r="AR35" s="379" t="s">
        <v>239</v>
      </c>
      <c r="AS35" s="221"/>
      <c r="AT35" s="221"/>
      <c r="AU35" s="379"/>
      <c r="AV35" s="379"/>
      <c r="AW35" s="266">
        <f t="shared" si="10"/>
        <v>21</v>
      </c>
      <c r="AX35" s="329" t="s">
        <v>385</v>
      </c>
      <c r="AZ35" s="35">
        <f>SUM(AZ32:AZ34)</f>
        <v>-15779516.682359507</v>
      </c>
      <c r="BA35" s="35">
        <f>SUM(BA32:BA34)</f>
        <v>-26797923.371187303</v>
      </c>
      <c r="BB35" s="35">
        <f>SUM(BB32:BB34)</f>
        <v>-11018406.688827798</v>
      </c>
      <c r="BC35" s="35">
        <f>SUM(BC32:BC34)</f>
        <v>-26797923.371187303</v>
      </c>
      <c r="BD35" s="35">
        <f>SUM(BD32:BD34)</f>
        <v>0</v>
      </c>
      <c r="BF35" s="379"/>
      <c r="BG35" s="379"/>
      <c r="BH35" s="379"/>
      <c r="BI35" s="379"/>
      <c r="BJ35" s="379"/>
      <c r="BK35" s="379"/>
      <c r="BL35" s="379"/>
      <c r="BM35" s="379"/>
      <c r="BN35" s="379"/>
      <c r="BO35" s="379"/>
      <c r="BP35" s="379"/>
      <c r="BQ35" s="379"/>
      <c r="BR35" s="379"/>
      <c r="BS35" s="379"/>
      <c r="BT35" s="379"/>
      <c r="BU35" s="379"/>
      <c r="BV35" s="379"/>
      <c r="BW35" s="379"/>
      <c r="BX35" s="379"/>
      <c r="BY35" s="379"/>
      <c r="BZ35" s="379"/>
      <c r="CA35" s="379"/>
      <c r="CB35" s="379"/>
      <c r="CC35" s="313"/>
    </row>
    <row r="36" spans="1:81" ht="15" thickTop="1" x14ac:dyDescent="0.3">
      <c r="A36" s="302">
        <f t="shared" si="0"/>
        <v>22</v>
      </c>
      <c r="B36" s="372" t="s">
        <v>522</v>
      </c>
      <c r="C36" s="380">
        <v>0.21</v>
      </c>
      <c r="D36" s="378">
        <f>-D34*$C$36</f>
        <v>-169709926.01308453</v>
      </c>
      <c r="E36" s="378">
        <f>-E34*$C$36</f>
        <v>-171727404.03812167</v>
      </c>
      <c r="F36" s="378">
        <f>-F34*$C$36</f>
        <v>-2017478.0250371571</v>
      </c>
      <c r="G36" s="378">
        <f>-G34*$C$36</f>
        <v>-176457776.74065071</v>
      </c>
      <c r="H36" s="378">
        <f>-H34*$C$36</f>
        <v>-4730372.7025290346</v>
      </c>
      <c r="I36" s="266"/>
      <c r="AG36" s="266"/>
      <c r="AO36" s="266">
        <f t="shared" si="6"/>
        <v>22</v>
      </c>
      <c r="AP36" s="320" t="s">
        <v>114</v>
      </c>
      <c r="AQ36" s="320"/>
      <c r="AR36" s="379" t="s">
        <v>239</v>
      </c>
      <c r="AS36" s="221"/>
      <c r="AT36" s="221"/>
      <c r="AU36" s="379"/>
      <c r="AV36" s="379"/>
      <c r="AW36" s="266"/>
      <c r="AX36" s="192"/>
      <c r="AY36" s="192"/>
      <c r="BF36" s="379"/>
      <c r="BG36" s="379"/>
      <c r="BH36" s="379"/>
      <c r="BI36" s="379"/>
      <c r="BJ36" s="379"/>
      <c r="BK36" s="379"/>
      <c r="BL36" s="379"/>
      <c r="BM36" s="379"/>
      <c r="BN36" s="379"/>
      <c r="BO36" s="379"/>
      <c r="BP36" s="379"/>
      <c r="BQ36" s="379"/>
      <c r="BR36" s="379"/>
      <c r="BS36" s="379"/>
      <c r="BT36" s="379"/>
      <c r="BU36" s="379"/>
      <c r="BV36" s="379"/>
      <c r="BW36" s="379"/>
      <c r="BX36" s="379"/>
      <c r="BY36" s="379"/>
      <c r="BZ36" s="379"/>
      <c r="CA36" s="379"/>
      <c r="CB36" s="379"/>
    </row>
    <row r="37" spans="1:81" ht="15" thickBot="1" x14ac:dyDescent="0.35">
      <c r="A37" s="302">
        <f t="shared" si="0"/>
        <v>23</v>
      </c>
      <c r="B37" s="372" t="s">
        <v>523</v>
      </c>
      <c r="C37" s="372"/>
      <c r="D37" s="506">
        <f>-D34-D36</f>
        <v>-638432578.81112754</v>
      </c>
      <c r="E37" s="506">
        <f>-E34-E36</f>
        <v>-646022139.00055301</v>
      </c>
      <c r="F37" s="506">
        <f>-F34-F36</f>
        <v>-7589560.1894254955</v>
      </c>
      <c r="G37" s="506">
        <f>-G34-G36</f>
        <v>-663817350.59578133</v>
      </c>
      <c r="H37" s="506">
        <f>-H34-H36</f>
        <v>-17795211.595228273</v>
      </c>
      <c r="I37" s="266"/>
      <c r="AG37" s="266"/>
      <c r="AO37" s="266">
        <f t="shared" si="6"/>
        <v>23</v>
      </c>
      <c r="AP37" s="320" t="s">
        <v>226</v>
      </c>
      <c r="AQ37" s="320"/>
      <c r="AR37" s="192">
        <v>2885052</v>
      </c>
      <c r="AS37" s="221">
        <f>+AR37</f>
        <v>2885052</v>
      </c>
      <c r="AT37" s="221">
        <f>+AS37-AR37</f>
        <v>0</v>
      </c>
      <c r="AU37" s="192">
        <v>2885052</v>
      </c>
      <c r="AV37" s="192">
        <f>+AU37-AS37</f>
        <v>0</v>
      </c>
      <c r="AW37" s="266"/>
      <c r="AX37" s="379"/>
      <c r="AY37" s="379"/>
      <c r="AZ37" s="379"/>
      <c r="BA37" s="379"/>
      <c r="BB37" s="379"/>
      <c r="BC37" s="379"/>
      <c r="BD37" s="379"/>
      <c r="BF37" s="192"/>
      <c r="BG37" s="192"/>
      <c r="BH37" s="192"/>
      <c r="BI37" s="192"/>
      <c r="BJ37" s="192"/>
      <c r="BK37" s="192"/>
      <c r="BL37" s="192"/>
      <c r="BM37" s="192"/>
      <c r="BN37" s="192"/>
      <c r="BO37" s="192"/>
      <c r="BP37" s="192"/>
      <c r="BQ37" s="192"/>
      <c r="BR37" s="192"/>
      <c r="BS37" s="192"/>
      <c r="BT37" s="192"/>
      <c r="BU37" s="192"/>
      <c r="BV37" s="192"/>
      <c r="BW37" s="192"/>
      <c r="BX37" s="192"/>
      <c r="BY37" s="192"/>
      <c r="BZ37" s="192"/>
      <c r="CA37" s="192"/>
      <c r="CB37" s="192"/>
    </row>
    <row r="38" spans="1:81" ht="15" thickTop="1" x14ac:dyDescent="0.3">
      <c r="A38" s="266"/>
      <c r="I38" s="266"/>
      <c r="AG38" s="266"/>
      <c r="AO38" s="266">
        <f t="shared" si="6"/>
        <v>24</v>
      </c>
      <c r="AP38" s="320" t="s">
        <v>227</v>
      </c>
      <c r="AQ38" s="320"/>
      <c r="AR38" s="379" t="s">
        <v>239</v>
      </c>
      <c r="AS38" s="221"/>
      <c r="AT38" s="221"/>
      <c r="AU38" s="379"/>
      <c r="AV38" s="379"/>
      <c r="AW38" s="266"/>
      <c r="AX38" s="379"/>
      <c r="AY38" s="379"/>
      <c r="AZ38" s="379"/>
      <c r="BA38" s="379"/>
      <c r="BB38" s="379"/>
      <c r="BC38" s="379"/>
      <c r="BD38" s="379"/>
      <c r="BF38" s="379"/>
      <c r="BG38" s="379"/>
      <c r="BH38" s="379"/>
      <c r="BI38" s="379"/>
      <c r="BJ38" s="379"/>
      <c r="BK38" s="379"/>
      <c r="BL38" s="379"/>
      <c r="BM38" s="379"/>
      <c r="BN38" s="379"/>
      <c r="BO38" s="379"/>
      <c r="BP38" s="379"/>
      <c r="BQ38" s="379"/>
      <c r="BR38" s="379"/>
      <c r="BS38" s="379"/>
      <c r="BT38" s="379"/>
      <c r="BU38" s="379"/>
      <c r="BV38" s="379"/>
      <c r="BW38" s="379"/>
      <c r="BX38" s="379"/>
      <c r="BY38" s="379"/>
      <c r="BZ38" s="379"/>
      <c r="CA38" s="379"/>
      <c r="CB38" s="379"/>
    </row>
    <row r="39" spans="1:81" x14ac:dyDescent="0.3">
      <c r="A39" s="266"/>
      <c r="I39" s="266"/>
      <c r="AG39" s="266"/>
      <c r="AO39" s="266">
        <f t="shared" si="6"/>
        <v>25</v>
      </c>
      <c r="AP39" s="320" t="s">
        <v>229</v>
      </c>
      <c r="AQ39" s="320"/>
      <c r="AR39" s="379" t="s">
        <v>239</v>
      </c>
      <c r="AS39" s="221"/>
      <c r="AT39" s="221"/>
      <c r="AU39" s="379"/>
      <c r="AV39" s="379"/>
      <c r="AW39" s="266"/>
      <c r="AX39" s="192"/>
      <c r="AY39" s="192"/>
      <c r="AZ39" s="192"/>
      <c r="BA39" s="192"/>
      <c r="BB39" s="192"/>
      <c r="BC39" s="192"/>
      <c r="BD39" s="192"/>
      <c r="BF39" s="379"/>
      <c r="BG39" s="379"/>
      <c r="BH39" s="379"/>
      <c r="BI39" s="379"/>
      <c r="BJ39" s="379"/>
      <c r="BK39" s="379"/>
      <c r="BL39" s="379"/>
      <c r="BM39" s="379"/>
      <c r="BN39" s="379"/>
      <c r="BO39" s="379"/>
      <c r="BP39" s="379"/>
      <c r="BQ39" s="379"/>
      <c r="BR39" s="379"/>
      <c r="BS39" s="379"/>
      <c r="BT39" s="379"/>
      <c r="BU39" s="379"/>
      <c r="BV39" s="379"/>
      <c r="BW39" s="379"/>
      <c r="BX39" s="379"/>
      <c r="BY39" s="379"/>
      <c r="BZ39" s="379"/>
      <c r="CA39" s="379"/>
      <c r="CB39" s="379"/>
    </row>
    <row r="40" spans="1:81" x14ac:dyDescent="0.3">
      <c r="A40" s="266"/>
      <c r="E40" s="221"/>
      <c r="G40" s="221"/>
      <c r="I40" s="266"/>
      <c r="AG40" s="266"/>
      <c r="AO40" s="266">
        <f t="shared" si="6"/>
        <v>26</v>
      </c>
      <c r="AP40" s="320" t="s">
        <v>230</v>
      </c>
      <c r="AQ40" s="320"/>
      <c r="AR40" s="379" t="s">
        <v>239</v>
      </c>
      <c r="AS40" s="221"/>
      <c r="AT40" s="221"/>
      <c r="AU40" s="379"/>
      <c r="AV40" s="379"/>
      <c r="AW40" s="266"/>
      <c r="AX40" s="379"/>
      <c r="AY40" s="379"/>
      <c r="AZ40" s="379"/>
      <c r="BA40" s="379"/>
      <c r="BB40" s="379"/>
      <c r="BC40" s="379"/>
      <c r="BD40" s="379"/>
      <c r="BF40" s="379"/>
      <c r="BG40" s="379"/>
      <c r="BH40" s="379"/>
      <c r="BI40" s="379"/>
      <c r="BJ40" s="379"/>
      <c r="BK40" s="379"/>
      <c r="BL40" s="379"/>
      <c r="BM40" s="379"/>
      <c r="BN40" s="379"/>
      <c r="BO40" s="379"/>
      <c r="BP40" s="379"/>
      <c r="BQ40" s="379"/>
      <c r="BR40" s="379"/>
      <c r="BS40" s="379"/>
      <c r="BT40" s="379"/>
      <c r="BU40" s="379"/>
      <c r="BV40" s="379"/>
      <c r="BW40" s="379"/>
      <c r="BX40" s="379"/>
      <c r="BY40" s="379"/>
      <c r="BZ40" s="379"/>
      <c r="CA40" s="379"/>
      <c r="CB40" s="379"/>
    </row>
    <row r="41" spans="1:81" x14ac:dyDescent="0.3">
      <c r="A41" s="266"/>
      <c r="I41" s="266"/>
      <c r="AG41" s="266"/>
      <c r="AO41" s="266">
        <f t="shared" si="6"/>
        <v>27</v>
      </c>
      <c r="AP41" s="320" t="s">
        <v>231</v>
      </c>
      <c r="AQ41" s="320"/>
      <c r="AR41" s="192">
        <v>687420</v>
      </c>
      <c r="AS41" s="221">
        <f t="shared" ref="AS41:AS48" si="24">+AR41</f>
        <v>687420</v>
      </c>
      <c r="AT41" s="221">
        <f t="shared" ref="AT41:AT48" si="25">+AS41-AR41</f>
        <v>0</v>
      </c>
      <c r="AU41" s="192">
        <v>687420</v>
      </c>
      <c r="AV41" s="192">
        <f t="shared" ref="AV41:AV48" si="26">+AU41-AS41</f>
        <v>0</v>
      </c>
      <c r="AW41" s="266"/>
      <c r="AX41" s="379"/>
      <c r="AY41" s="379"/>
      <c r="AZ41" s="379"/>
      <c r="BA41" s="379"/>
      <c r="BB41" s="379"/>
      <c r="BC41" s="379"/>
      <c r="BD41" s="379"/>
      <c r="BF41" s="192"/>
      <c r="BG41" s="192"/>
      <c r="BH41" s="192"/>
      <c r="BI41" s="192"/>
      <c r="BJ41" s="192"/>
      <c r="BK41" s="192"/>
      <c r="BL41" s="192"/>
      <c r="BM41" s="192"/>
      <c r="BN41" s="192"/>
      <c r="BO41" s="192"/>
      <c r="BP41" s="192"/>
      <c r="BQ41" s="192"/>
      <c r="BR41" s="192"/>
      <c r="BS41" s="192"/>
      <c r="BT41" s="192"/>
      <c r="BU41" s="192"/>
      <c r="BV41" s="192"/>
      <c r="BW41" s="192"/>
      <c r="BX41" s="192"/>
      <c r="BY41" s="192"/>
      <c r="BZ41" s="192"/>
      <c r="CA41" s="192"/>
      <c r="CB41" s="192"/>
    </row>
    <row r="42" spans="1:81" x14ac:dyDescent="0.3">
      <c r="A42" s="266"/>
      <c r="I42" s="266"/>
      <c r="AG42" s="266"/>
      <c r="AO42" s="266">
        <f t="shared" si="6"/>
        <v>28</v>
      </c>
      <c r="AP42" s="320" t="s">
        <v>232</v>
      </c>
      <c r="AQ42" s="320"/>
      <c r="AR42" s="192">
        <v>561126.34087998548</v>
      </c>
      <c r="AS42" s="221">
        <f t="shared" si="24"/>
        <v>561126.34087998548</v>
      </c>
      <c r="AT42" s="221">
        <f t="shared" si="25"/>
        <v>0</v>
      </c>
      <c r="AU42" s="192">
        <v>0</v>
      </c>
      <c r="AV42" s="192">
        <f t="shared" si="26"/>
        <v>-561126.34087998548</v>
      </c>
      <c r="AW42" s="266"/>
      <c r="AX42" s="379"/>
      <c r="AY42" s="379"/>
      <c r="AZ42" s="379"/>
      <c r="BA42" s="379"/>
      <c r="BB42" s="379"/>
      <c r="BC42" s="379"/>
      <c r="BD42" s="379"/>
      <c r="BF42" s="192"/>
      <c r="BG42" s="192"/>
      <c r="BH42" s="192"/>
      <c r="BI42" s="192"/>
      <c r="BJ42" s="192"/>
      <c r="BK42" s="192"/>
      <c r="BL42" s="192"/>
      <c r="BM42" s="192"/>
      <c r="BN42" s="192"/>
      <c r="BO42" s="192"/>
      <c r="BP42" s="192"/>
      <c r="BQ42" s="192"/>
      <c r="BR42" s="192"/>
      <c r="BS42" s="192"/>
      <c r="BT42" s="192"/>
      <c r="BU42" s="192"/>
      <c r="BV42" s="192"/>
      <c r="BW42" s="192"/>
      <c r="BX42" s="192"/>
      <c r="BY42" s="192"/>
      <c r="BZ42" s="192"/>
      <c r="CA42" s="192"/>
      <c r="CB42" s="192"/>
    </row>
    <row r="43" spans="1:81" x14ac:dyDescent="0.3">
      <c r="AG43" s="266"/>
      <c r="AO43" s="266">
        <f t="shared" si="6"/>
        <v>29</v>
      </c>
      <c r="AP43" s="320" t="s">
        <v>233</v>
      </c>
      <c r="AQ43" s="320"/>
      <c r="AR43" s="192">
        <v>2203436.1529896799</v>
      </c>
      <c r="AS43" s="221">
        <f t="shared" si="24"/>
        <v>2203436.1529896799</v>
      </c>
      <c r="AT43" s="221">
        <f t="shared" si="25"/>
        <v>0</v>
      </c>
      <c r="AU43" s="192">
        <v>0</v>
      </c>
      <c r="AV43" s="192">
        <f t="shared" si="26"/>
        <v>-2203436.1529896799</v>
      </c>
      <c r="AW43" s="266"/>
      <c r="AX43" s="192"/>
      <c r="AY43" s="192"/>
      <c r="AZ43" s="192"/>
      <c r="BA43" s="192"/>
      <c r="BB43" s="192"/>
      <c r="BC43" s="192"/>
      <c r="BD43" s="192"/>
      <c r="BF43" s="192"/>
      <c r="BG43" s="192"/>
      <c r="BH43" s="192"/>
      <c r="BI43" s="192"/>
      <c r="BJ43" s="192"/>
      <c r="BK43" s="192"/>
      <c r="BL43" s="192"/>
      <c r="BM43" s="192"/>
      <c r="BN43" s="192"/>
      <c r="BO43" s="192"/>
      <c r="BP43" s="192"/>
      <c r="BQ43" s="192"/>
      <c r="BR43" s="192"/>
      <c r="BS43" s="192"/>
      <c r="BT43" s="192"/>
      <c r="BU43" s="192"/>
      <c r="BV43" s="192"/>
      <c r="BW43" s="192"/>
      <c r="BX43" s="192"/>
      <c r="BY43" s="192"/>
      <c r="BZ43" s="192"/>
      <c r="CA43" s="192"/>
      <c r="CB43" s="192"/>
    </row>
    <row r="44" spans="1:81" x14ac:dyDescent="0.3">
      <c r="AG44" s="266"/>
      <c r="AO44" s="266">
        <f t="shared" si="6"/>
        <v>30</v>
      </c>
      <c r="AP44" s="320" t="s">
        <v>234</v>
      </c>
      <c r="AQ44" s="320"/>
      <c r="AR44" s="192">
        <v>4520422.508572978</v>
      </c>
      <c r="AS44" s="221">
        <f t="shared" si="24"/>
        <v>4520422.508572978</v>
      </c>
      <c r="AT44" s="221">
        <f t="shared" si="25"/>
        <v>0</v>
      </c>
      <c r="AU44" s="192">
        <v>0</v>
      </c>
      <c r="AV44" s="192">
        <f t="shared" si="26"/>
        <v>-4520422.508572978</v>
      </c>
      <c r="AW44" s="266"/>
      <c r="AX44" s="192"/>
      <c r="AY44" s="192"/>
      <c r="AZ44" s="192"/>
      <c r="BA44" s="192"/>
      <c r="BB44" s="192"/>
      <c r="BC44" s="192"/>
      <c r="BD44" s="192"/>
      <c r="BF44" s="192"/>
      <c r="BG44" s="192"/>
      <c r="BH44" s="192"/>
      <c r="BI44" s="192"/>
      <c r="BJ44" s="192"/>
      <c r="BK44" s="192"/>
      <c r="BL44" s="192"/>
      <c r="BM44" s="192"/>
      <c r="BN44" s="192"/>
      <c r="BO44" s="192"/>
      <c r="BP44" s="192"/>
      <c r="BQ44" s="192"/>
      <c r="BR44" s="192"/>
      <c r="BS44" s="192"/>
      <c r="BT44" s="192"/>
      <c r="BU44" s="192"/>
      <c r="BV44" s="192"/>
      <c r="BW44" s="192"/>
      <c r="BX44" s="192"/>
      <c r="BY44" s="192"/>
      <c r="BZ44" s="192"/>
      <c r="CA44" s="192"/>
      <c r="CB44" s="192"/>
    </row>
    <row r="45" spans="1:81" x14ac:dyDescent="0.3">
      <c r="AG45" s="266"/>
      <c r="AO45" s="266">
        <f t="shared" si="6"/>
        <v>31</v>
      </c>
      <c r="AP45" s="320" t="s">
        <v>235</v>
      </c>
      <c r="AQ45" s="320"/>
      <c r="AR45" s="192">
        <v>-400029</v>
      </c>
      <c r="AS45" s="221">
        <f t="shared" si="24"/>
        <v>-400029</v>
      </c>
      <c r="AT45" s="221">
        <f t="shared" si="25"/>
        <v>0</v>
      </c>
      <c r="AU45" s="192">
        <v>0</v>
      </c>
      <c r="AV45" s="192">
        <f t="shared" si="26"/>
        <v>400029</v>
      </c>
      <c r="AW45" s="266"/>
      <c r="AX45" s="192"/>
      <c r="AY45" s="192"/>
      <c r="AZ45" s="192"/>
      <c r="BA45" s="192"/>
      <c r="BB45" s="192"/>
      <c r="BC45" s="192"/>
      <c r="BD45" s="192"/>
      <c r="BF45" s="192"/>
      <c r="BG45" s="192"/>
      <c r="BH45" s="192"/>
      <c r="BI45" s="192"/>
      <c r="BJ45" s="192"/>
      <c r="BK45" s="192"/>
      <c r="BL45" s="192"/>
      <c r="BM45" s="192"/>
      <c r="BN45" s="192"/>
      <c r="BO45" s="192"/>
      <c r="BP45" s="192"/>
      <c r="BQ45" s="192"/>
      <c r="BR45" s="192"/>
      <c r="BS45" s="192"/>
      <c r="BT45" s="192"/>
      <c r="BU45" s="192"/>
      <c r="BV45" s="192"/>
      <c r="BW45" s="192"/>
      <c r="BX45" s="192"/>
      <c r="BY45" s="192"/>
      <c r="BZ45" s="192"/>
      <c r="CA45" s="192"/>
      <c r="CB45" s="192"/>
    </row>
    <row r="46" spans="1:81" x14ac:dyDescent="0.3">
      <c r="AG46" s="266"/>
      <c r="AO46" s="266">
        <f t="shared" si="6"/>
        <v>32</v>
      </c>
      <c r="AP46" s="320" t="s">
        <v>236</v>
      </c>
      <c r="AQ46" s="320"/>
      <c r="AR46" s="192">
        <v>-1381856</v>
      </c>
      <c r="AS46" s="221">
        <f t="shared" si="24"/>
        <v>-1381856</v>
      </c>
      <c r="AT46" s="221">
        <f t="shared" si="25"/>
        <v>0</v>
      </c>
      <c r="AU46" s="192">
        <v>0</v>
      </c>
      <c r="AV46" s="192">
        <f t="shared" si="26"/>
        <v>1381856</v>
      </c>
      <c r="AW46" s="266"/>
      <c r="AX46" s="192"/>
      <c r="AY46" s="192"/>
      <c r="AZ46" s="192"/>
      <c r="BA46" s="192"/>
      <c r="BB46" s="192"/>
      <c r="BC46" s="192"/>
      <c r="BD46" s="192"/>
      <c r="BF46" s="192"/>
      <c r="BG46" s="192"/>
      <c r="BH46" s="192"/>
      <c r="BI46" s="192"/>
      <c r="BJ46" s="192"/>
      <c r="BK46" s="192"/>
      <c r="BL46" s="192"/>
      <c r="BM46" s="192"/>
      <c r="BN46" s="192"/>
      <c r="BO46" s="192"/>
      <c r="BP46" s="192"/>
      <c r="BQ46" s="192"/>
      <c r="BR46" s="192"/>
      <c r="BS46" s="192"/>
      <c r="BT46" s="192"/>
      <c r="BU46" s="192"/>
      <c r="BV46" s="192"/>
      <c r="BW46" s="192"/>
      <c r="BX46" s="192"/>
      <c r="BY46" s="192"/>
      <c r="BZ46" s="192"/>
      <c r="CA46" s="192"/>
      <c r="CB46" s="192"/>
    </row>
    <row r="47" spans="1:81" x14ac:dyDescent="0.3">
      <c r="AG47" s="266"/>
      <c r="AO47" s="266">
        <f t="shared" si="6"/>
        <v>33</v>
      </c>
      <c r="AP47" s="320" t="s">
        <v>480</v>
      </c>
      <c r="AQ47" s="320"/>
      <c r="AR47" s="192">
        <v>6689176.5497812955</v>
      </c>
      <c r="AS47" s="221">
        <f t="shared" si="24"/>
        <v>6689176.5497812955</v>
      </c>
      <c r="AT47" s="221">
        <f t="shared" si="25"/>
        <v>0</v>
      </c>
      <c r="AU47" s="192">
        <v>4459451.03318753</v>
      </c>
      <c r="AV47" s="192">
        <f t="shared" si="26"/>
        <v>-2229725.5165937655</v>
      </c>
      <c r="AW47" s="266"/>
      <c r="AX47" s="192"/>
      <c r="AY47" s="192"/>
      <c r="AZ47" s="192"/>
      <c r="BA47" s="192"/>
      <c r="BB47" s="192"/>
      <c r="BC47" s="192"/>
      <c r="BD47" s="192"/>
      <c r="BF47" s="192"/>
      <c r="BG47" s="192"/>
      <c r="BH47" s="192"/>
      <c r="BI47" s="192"/>
      <c r="BJ47" s="192"/>
      <c r="BK47" s="192"/>
      <c r="BL47" s="192"/>
      <c r="BM47" s="192"/>
      <c r="BN47" s="192"/>
      <c r="BO47" s="192"/>
      <c r="BP47" s="192"/>
      <c r="BQ47" s="192"/>
      <c r="BR47" s="192"/>
      <c r="BS47" s="192"/>
      <c r="BT47" s="192"/>
      <c r="BU47" s="192"/>
      <c r="BV47" s="192"/>
      <c r="BW47" s="192"/>
      <c r="BX47" s="192"/>
      <c r="BY47" s="192"/>
      <c r="BZ47" s="192"/>
      <c r="CA47" s="192"/>
      <c r="CB47" s="192"/>
    </row>
    <row r="48" spans="1:81" x14ac:dyDescent="0.3">
      <c r="AG48" s="266"/>
      <c r="AO48" s="266">
        <f t="shared" ref="AO48:AO63" si="27">AO47+1</f>
        <v>34</v>
      </c>
      <c r="AP48" s="320" t="s">
        <v>479</v>
      </c>
      <c r="AQ48" s="320"/>
      <c r="AR48" s="192">
        <v>3786308</v>
      </c>
      <c r="AS48" s="221">
        <f t="shared" si="24"/>
        <v>3786308</v>
      </c>
      <c r="AT48" s="221">
        <f t="shared" si="25"/>
        <v>0</v>
      </c>
      <c r="AU48" s="192">
        <v>0</v>
      </c>
      <c r="AV48" s="192">
        <f t="shared" si="26"/>
        <v>-3786308</v>
      </c>
      <c r="AW48" s="266"/>
      <c r="AX48" s="192"/>
      <c r="AY48" s="192"/>
      <c r="AZ48" s="192"/>
      <c r="BA48" s="192"/>
      <c r="BB48" s="192"/>
      <c r="BC48" s="192"/>
      <c r="BD48" s="192"/>
      <c r="BF48" s="382"/>
      <c r="BG48" s="382"/>
      <c r="BH48" s="382"/>
      <c r="BI48" s="382"/>
      <c r="BJ48" s="382"/>
      <c r="BK48" s="382"/>
      <c r="BL48" s="382"/>
      <c r="BM48" s="382"/>
      <c r="BN48" s="382"/>
      <c r="BO48" s="382"/>
      <c r="BP48" s="382"/>
      <c r="BQ48" s="382"/>
      <c r="BR48" s="382"/>
      <c r="BS48" s="382"/>
      <c r="BT48" s="382"/>
      <c r="BU48" s="382"/>
      <c r="BV48" s="382"/>
      <c r="BW48" s="382"/>
      <c r="BX48" s="382"/>
      <c r="BY48" s="382"/>
      <c r="BZ48" s="382"/>
      <c r="CA48" s="382"/>
      <c r="CB48" s="382"/>
    </row>
    <row r="49" spans="2:80" x14ac:dyDescent="0.3">
      <c r="AG49" s="266"/>
      <c r="AO49" s="266">
        <f t="shared" si="27"/>
        <v>35</v>
      </c>
      <c r="AP49" s="1" t="s">
        <v>240</v>
      </c>
      <c r="AQ49" s="1"/>
      <c r="AR49" s="383">
        <f>SUM(AR35:AR48)</f>
        <v>19551056.552223939</v>
      </c>
      <c r="AS49" s="383">
        <f>SUM(AS35:AS48)</f>
        <v>19551056.552223939</v>
      </c>
      <c r="AT49" s="383">
        <f>SUM(AT35:AT48)</f>
        <v>0</v>
      </c>
      <c r="AU49" s="383">
        <f>SUM(AU35:AU48)</f>
        <v>8031923.03318753</v>
      </c>
      <c r="AV49" s="383">
        <f>SUM(AV35:AV48)</f>
        <v>-11519133.519036409</v>
      </c>
      <c r="AW49" s="266"/>
      <c r="AX49" s="192"/>
      <c r="AY49" s="192"/>
      <c r="AZ49" s="192"/>
      <c r="BA49" s="192"/>
      <c r="BB49" s="192"/>
      <c r="BC49" s="192"/>
      <c r="BD49" s="192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</row>
    <row r="50" spans="2:80" x14ac:dyDescent="0.3">
      <c r="AG50" s="266"/>
      <c r="AO50" s="266">
        <f t="shared" si="27"/>
        <v>36</v>
      </c>
      <c r="AP50" s="1"/>
      <c r="AQ50" s="1"/>
      <c r="AR50" s="1"/>
      <c r="AU50" s="1"/>
      <c r="AV50" s="1"/>
      <c r="AW50" s="266"/>
      <c r="AX50" s="382"/>
      <c r="AY50" s="382"/>
      <c r="AZ50" s="382"/>
      <c r="BA50" s="382"/>
      <c r="BB50" s="382"/>
      <c r="BC50" s="382"/>
      <c r="BD50" s="382"/>
      <c r="BF50" s="13"/>
      <c r="BG50" s="13"/>
      <c r="BH50" s="13"/>
      <c r="BI50" s="13"/>
      <c r="BJ50" s="13"/>
      <c r="BK50" s="13"/>
      <c r="BL50" s="13"/>
      <c r="BM50" s="13"/>
      <c r="BN50" s="13"/>
      <c r="BO50" s="13"/>
      <c r="BP50" s="13"/>
      <c r="BQ50" s="13"/>
      <c r="BR50" s="13"/>
      <c r="BS50" s="13"/>
      <c r="BT50" s="13"/>
      <c r="BU50" s="13"/>
      <c r="BV50" s="13"/>
      <c r="BW50" s="13"/>
      <c r="BX50" s="13"/>
      <c r="BY50" s="13"/>
      <c r="BZ50" s="13"/>
      <c r="CA50" s="13"/>
      <c r="CB50" s="13"/>
    </row>
    <row r="51" spans="2:80" x14ac:dyDescent="0.3">
      <c r="AG51" s="266"/>
      <c r="AO51" s="266">
        <f t="shared" si="27"/>
        <v>37</v>
      </c>
      <c r="AP51" s="1" t="s">
        <v>241</v>
      </c>
      <c r="AQ51" s="1"/>
      <c r="AR51" s="1"/>
      <c r="AU51" s="190"/>
      <c r="AV51" s="13">
        <f>AV49</f>
        <v>-11519133.519036409</v>
      </c>
      <c r="AW51" s="266"/>
      <c r="AX51" s="1"/>
      <c r="AY51" s="1"/>
      <c r="AZ51" s="1"/>
      <c r="BA51" s="1"/>
      <c r="BB51" s="1"/>
      <c r="BC51" s="1"/>
      <c r="BD51" s="1"/>
      <c r="BF51" s="384"/>
      <c r="BG51" s="384"/>
      <c r="BH51" s="384"/>
      <c r="BI51" s="384"/>
      <c r="BJ51" s="384"/>
      <c r="BK51" s="384"/>
      <c r="BL51" s="384"/>
      <c r="BM51" s="384"/>
      <c r="BN51" s="384"/>
      <c r="BO51" s="384"/>
      <c r="BP51" s="384"/>
      <c r="BQ51" s="384"/>
      <c r="BR51" s="384"/>
      <c r="BS51" s="384"/>
      <c r="BT51" s="384"/>
      <c r="BU51" s="384"/>
      <c r="BV51" s="384"/>
      <c r="BW51" s="384"/>
      <c r="BX51" s="384"/>
      <c r="BY51" s="384"/>
      <c r="BZ51" s="384"/>
      <c r="CA51" s="384"/>
      <c r="CB51" s="384"/>
    </row>
    <row r="52" spans="2:80" x14ac:dyDescent="0.3">
      <c r="AG52" s="266"/>
      <c r="AO52" s="266">
        <f t="shared" si="27"/>
        <v>38</v>
      </c>
      <c r="AP52" s="1"/>
      <c r="AQ52" s="1"/>
      <c r="AR52" s="1"/>
      <c r="AU52" s="190"/>
      <c r="AV52" s="384"/>
      <c r="AW52" s="266"/>
      <c r="AX52" s="13"/>
      <c r="AY52" s="13"/>
      <c r="AZ52" s="13"/>
      <c r="BA52" s="13"/>
      <c r="BB52" s="13"/>
      <c r="BC52" s="13"/>
      <c r="BD52" s="13"/>
      <c r="BF52" s="385"/>
      <c r="BG52" s="385"/>
      <c r="BH52" s="385"/>
      <c r="BI52" s="385"/>
      <c r="BJ52" s="385"/>
      <c r="BK52" s="385"/>
      <c r="BL52" s="385"/>
      <c r="BM52" s="385"/>
      <c r="BN52" s="385"/>
      <c r="BO52" s="385"/>
      <c r="BP52" s="385"/>
      <c r="BQ52" s="385"/>
      <c r="BR52" s="385"/>
      <c r="BS52" s="385"/>
      <c r="BT52" s="385"/>
      <c r="BU52" s="385"/>
      <c r="BV52" s="385"/>
      <c r="BW52" s="385"/>
      <c r="BX52" s="385"/>
      <c r="BY52" s="385"/>
      <c r="BZ52" s="385"/>
      <c r="CA52" s="385"/>
      <c r="CB52" s="385"/>
    </row>
    <row r="53" spans="2:80" x14ac:dyDescent="0.3">
      <c r="AG53" s="266"/>
      <c r="AO53" s="266">
        <f t="shared" si="27"/>
        <v>39</v>
      </c>
      <c r="AP53" s="1" t="s">
        <v>242</v>
      </c>
      <c r="AQ53" s="348">
        <v>0.21</v>
      </c>
      <c r="AR53" s="1"/>
      <c r="AV53" s="386">
        <f>-AV51*AQ53</f>
        <v>2419018.0389976455</v>
      </c>
      <c r="AW53" s="266"/>
      <c r="AX53" s="384"/>
      <c r="AY53" s="384"/>
      <c r="AZ53" s="384"/>
      <c r="BA53" s="384"/>
      <c r="BB53" s="384"/>
      <c r="BC53" s="384"/>
      <c r="BD53" s="384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</row>
    <row r="54" spans="2:80" x14ac:dyDescent="0.3">
      <c r="AG54" s="266"/>
      <c r="AO54" s="266">
        <f t="shared" si="27"/>
        <v>40</v>
      </c>
      <c r="AP54" s="1"/>
      <c r="AQ54" s="1"/>
      <c r="AR54" s="1"/>
      <c r="AS54" s="1"/>
      <c r="AU54" s="1"/>
      <c r="AV54" s="1"/>
      <c r="AW54" s="266"/>
      <c r="AX54" s="385"/>
      <c r="AY54" s="385"/>
      <c r="AZ54" s="385"/>
      <c r="BA54" s="385"/>
      <c r="BB54" s="385"/>
      <c r="BC54" s="385"/>
      <c r="BD54" s="385"/>
      <c r="BF54" s="310"/>
      <c r="BG54" s="310"/>
      <c r="BH54" s="310"/>
      <c r="BI54" s="310"/>
      <c r="BJ54" s="310"/>
      <c r="BK54" s="310"/>
      <c r="BL54" s="310"/>
      <c r="BM54" s="310"/>
      <c r="BN54" s="310"/>
      <c r="BO54" s="310"/>
      <c r="BP54" s="310"/>
      <c r="BQ54" s="310"/>
      <c r="BR54" s="310"/>
      <c r="BS54" s="310"/>
      <c r="BT54" s="310"/>
      <c r="BU54" s="310"/>
      <c r="BV54" s="310"/>
      <c r="BW54" s="310"/>
      <c r="BX54" s="310"/>
      <c r="BY54" s="310"/>
      <c r="BZ54" s="310"/>
      <c r="CA54" s="310"/>
      <c r="CB54" s="310"/>
    </row>
    <row r="55" spans="2:80" ht="15" thickBot="1" x14ac:dyDescent="0.35">
      <c r="AO55" s="266">
        <f t="shared" si="27"/>
        <v>41</v>
      </c>
      <c r="AP55" s="1" t="s">
        <v>95</v>
      </c>
      <c r="AQ55" s="1"/>
      <c r="AR55" s="1"/>
      <c r="AS55" s="1"/>
      <c r="AU55" s="310"/>
      <c r="AV55" s="387">
        <f>-AV51-AV53</f>
        <v>9100115.4800387621</v>
      </c>
      <c r="AW55" s="266"/>
      <c r="AX55" s="1"/>
      <c r="AY55" s="1"/>
      <c r="AZ55" s="1"/>
      <c r="BA55" s="1"/>
      <c r="BB55" s="1"/>
      <c r="BC55" s="1"/>
      <c r="BD55" s="1"/>
    </row>
    <row r="56" spans="2:80" ht="15" thickTop="1" x14ac:dyDescent="0.3">
      <c r="AO56" s="266">
        <f t="shared" si="27"/>
        <v>42</v>
      </c>
      <c r="AW56" s="266"/>
      <c r="AX56" s="310"/>
      <c r="AY56" s="310"/>
      <c r="AZ56" s="310"/>
      <c r="BA56" s="310"/>
      <c r="BB56" s="310"/>
      <c r="BC56" s="310"/>
      <c r="BD56" s="310"/>
    </row>
    <row r="57" spans="2:80" x14ac:dyDescent="0.3">
      <c r="AO57" s="266">
        <f t="shared" si="27"/>
        <v>43</v>
      </c>
      <c r="AP57" s="375" t="s">
        <v>579</v>
      </c>
      <c r="AQ57" s="375"/>
      <c r="AW57" s="266"/>
    </row>
    <row r="58" spans="2:80" x14ac:dyDescent="0.3">
      <c r="AO58" s="266">
        <f t="shared" si="27"/>
        <v>44</v>
      </c>
      <c r="AP58" s="375" t="s">
        <v>580</v>
      </c>
      <c r="AQ58" s="375"/>
      <c r="AW58" s="266"/>
    </row>
    <row r="59" spans="2:80" x14ac:dyDescent="0.3">
      <c r="AO59" s="266">
        <f t="shared" si="27"/>
        <v>45</v>
      </c>
      <c r="AP59" s="375"/>
      <c r="AQ59" s="375"/>
      <c r="AW59" s="266"/>
    </row>
    <row r="60" spans="2:80" x14ac:dyDescent="0.3">
      <c r="AO60" s="266">
        <f t="shared" si="27"/>
        <v>46</v>
      </c>
      <c r="AP60" s="375" t="s">
        <v>581</v>
      </c>
      <c r="AW60" s="266"/>
    </row>
    <row r="61" spans="2:80" x14ac:dyDescent="0.3">
      <c r="AO61" s="266">
        <f t="shared" si="27"/>
        <v>47</v>
      </c>
      <c r="AP61" s="375" t="s">
        <v>582</v>
      </c>
      <c r="AQ61" s="375"/>
      <c r="AR61" s="192">
        <v>-31039847.298310034</v>
      </c>
      <c r="AW61" s="266"/>
    </row>
    <row r="62" spans="2:80" x14ac:dyDescent="0.3">
      <c r="AO62" s="266">
        <f t="shared" si="27"/>
        <v>48</v>
      </c>
      <c r="AP62" s="375" t="s">
        <v>583</v>
      </c>
      <c r="AQ62" s="375"/>
      <c r="AR62" s="192">
        <v>7647955.3945128955</v>
      </c>
      <c r="AW62" s="266"/>
    </row>
    <row r="63" spans="2:80" ht="15" thickBot="1" x14ac:dyDescent="0.35">
      <c r="AO63" s="266">
        <f t="shared" si="27"/>
        <v>49</v>
      </c>
      <c r="AP63" s="375" t="s">
        <v>584</v>
      </c>
      <c r="AQ63" s="375"/>
      <c r="AR63" s="388">
        <f>SUM(AR61:AR62)</f>
        <v>-23391891.903797138</v>
      </c>
      <c r="AW63" s="266"/>
    </row>
    <row r="64" spans="2:80" ht="15" thickTop="1" x14ac:dyDescent="0.3">
      <c r="B64" s="6" t="str">
        <f>UPPER(B38)</f>
        <v/>
      </c>
      <c r="AO64" s="266"/>
      <c r="AP64" s="375"/>
      <c r="AQ64" s="375"/>
      <c r="AW64" s="266"/>
    </row>
    <row r="65" spans="2:48" x14ac:dyDescent="0.3">
      <c r="B65" s="6" t="str">
        <f>UPPER(B39)</f>
        <v/>
      </c>
    </row>
    <row r="66" spans="2:48" x14ac:dyDescent="0.3">
      <c r="B66" s="6" t="str">
        <f>UPPER(B40)</f>
        <v/>
      </c>
    </row>
    <row r="68" spans="2:48" x14ac:dyDescent="0.3">
      <c r="AO68" s="276"/>
      <c r="AP68" s="183"/>
      <c r="AQ68" s="183"/>
      <c r="AR68" s="183"/>
      <c r="AS68" s="183"/>
      <c r="AT68" s="183"/>
      <c r="AU68" s="183"/>
      <c r="AV68" s="183"/>
    </row>
  </sheetData>
  <pageMargins left="0.7" right="0.7" top="0.75" bottom="0.75" header="0.3" footer="0.3"/>
  <pageSetup orientation="portrait" r:id="rId1"/>
  <customProperties>
    <customPr name="EpmWorksheetKeyString_GUID" r:id="rId2"/>
  </customPropertie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70"/>
  <sheetViews>
    <sheetView workbookViewId="0">
      <pane xSplit="4" ySplit="10" topLeftCell="E11" activePane="bottomRight" state="frozen"/>
      <selection activeCell="B41" sqref="B41"/>
      <selection pane="topRight" activeCell="B41" sqref="B41"/>
      <selection pane="bottomLeft" activeCell="B41" sqref="B41"/>
      <selection pane="bottomRight" activeCell="F33" sqref="F33"/>
    </sheetView>
  </sheetViews>
  <sheetFormatPr defaultColWidth="9.109375" defaultRowHeight="13.2" x14ac:dyDescent="0.25"/>
  <cols>
    <col min="1" max="1" width="4.5546875" style="254" customWidth="1"/>
    <col min="2" max="2" width="6.6640625" style="255" bestFit="1" customWidth="1"/>
    <col min="3" max="3" width="3.6640625" style="255" bestFit="1" customWidth="1"/>
    <col min="4" max="4" width="56.33203125" style="254" bestFit="1" customWidth="1"/>
    <col min="5" max="5" width="14.109375" style="254" bestFit="1" customWidth="1"/>
    <col min="6" max="6" width="15.5546875" style="254" bestFit="1" customWidth="1"/>
    <col min="7" max="8" width="13.6640625" style="254" customWidth="1"/>
    <col min="9" max="9" width="12.44140625" style="254" bestFit="1" customWidth="1"/>
    <col min="10" max="10" width="13.109375" style="254" bestFit="1" customWidth="1"/>
    <col min="11" max="11" width="12.33203125" style="254" bestFit="1" customWidth="1"/>
    <col min="12" max="16384" width="9.109375" style="254"/>
  </cols>
  <sheetData>
    <row r="1" spans="1:72" ht="13.8" thickBot="1" x14ac:dyDescent="0.3"/>
    <row r="2" spans="1:72" ht="18.600000000000001" thickBot="1" x14ac:dyDescent="0.4">
      <c r="A2" s="256" t="s">
        <v>225</v>
      </c>
      <c r="I2" s="257" t="s">
        <v>798</v>
      </c>
      <c r="J2" s="258"/>
    </row>
    <row r="3" spans="1:72" ht="18" x14ac:dyDescent="0.35">
      <c r="A3" s="256" t="s">
        <v>674</v>
      </c>
    </row>
    <row r="4" spans="1:72" ht="18.600000000000001" thickBot="1" x14ac:dyDescent="0.4">
      <c r="A4" s="256" t="s">
        <v>675</v>
      </c>
      <c r="I4" s="259" t="s">
        <v>676</v>
      </c>
      <c r="J4" s="259" t="s">
        <v>677</v>
      </c>
    </row>
    <row r="5" spans="1:72" ht="18" x14ac:dyDescent="0.35">
      <c r="A5" s="256" t="s">
        <v>678</v>
      </c>
      <c r="I5" s="260" t="s">
        <v>679</v>
      </c>
      <c r="J5" s="260" t="s">
        <v>679</v>
      </c>
    </row>
    <row r="6" spans="1:72" ht="14.4" thickBot="1" x14ac:dyDescent="0.3">
      <c r="I6" s="261">
        <v>0</v>
      </c>
      <c r="J6" s="261">
        <f>1-I6</f>
        <v>1</v>
      </c>
    </row>
    <row r="7" spans="1:72" ht="13.8" x14ac:dyDescent="0.25">
      <c r="I7" s="260" t="s">
        <v>680</v>
      </c>
      <c r="J7" s="260" t="s">
        <v>680</v>
      </c>
    </row>
    <row r="8" spans="1:72" ht="14.4" thickBot="1" x14ac:dyDescent="0.3">
      <c r="I8" s="262">
        <f>1-J8</f>
        <v>4.4187217636807996E-2</v>
      </c>
      <c r="J8" s="263">
        <v>0.955812782363192</v>
      </c>
    </row>
    <row r="9" spans="1:72" x14ac:dyDescent="0.25">
      <c r="E9" s="255" t="s">
        <v>681</v>
      </c>
      <c r="F9" s="255" t="s">
        <v>682</v>
      </c>
      <c r="G9" s="255" t="s">
        <v>683</v>
      </c>
      <c r="H9" s="255" t="s">
        <v>683</v>
      </c>
      <c r="I9" s="255" t="s">
        <v>684</v>
      </c>
    </row>
    <row r="10" spans="1:72" x14ac:dyDescent="0.25">
      <c r="A10" s="254" t="s">
        <v>685</v>
      </c>
      <c r="B10" s="255" t="s">
        <v>686</v>
      </c>
      <c r="C10" s="255" t="s">
        <v>650</v>
      </c>
      <c r="D10" s="254" t="s">
        <v>122</v>
      </c>
      <c r="E10" s="255" t="s">
        <v>687</v>
      </c>
      <c r="F10" s="255" t="s">
        <v>688</v>
      </c>
      <c r="G10" s="255" t="s">
        <v>689</v>
      </c>
      <c r="H10" s="255" t="s">
        <v>690</v>
      </c>
      <c r="I10" s="255" t="s">
        <v>691</v>
      </c>
    </row>
    <row r="11" spans="1:72" x14ac:dyDescent="0.25">
      <c r="A11" s="255">
        <v>1</v>
      </c>
      <c r="E11" s="264"/>
      <c r="F11" s="264"/>
      <c r="G11" s="264"/>
      <c r="H11" s="264"/>
      <c r="I11" s="264"/>
      <c r="J11" s="264"/>
      <c r="K11" s="264"/>
      <c r="L11" s="264"/>
      <c r="M11" s="264"/>
      <c r="N11" s="264"/>
      <c r="O11" s="264"/>
      <c r="P11" s="264"/>
      <c r="Q11" s="264"/>
      <c r="R11" s="264"/>
      <c r="S11" s="264"/>
      <c r="T11" s="264"/>
      <c r="U11" s="264"/>
      <c r="V11" s="264"/>
      <c r="W11" s="264"/>
      <c r="X11" s="264"/>
      <c r="Y11" s="264"/>
      <c r="Z11" s="264"/>
      <c r="AA11" s="264"/>
      <c r="AB11" s="264"/>
      <c r="AC11" s="264"/>
      <c r="AD11" s="264"/>
      <c r="AE11" s="264"/>
      <c r="AF11" s="264"/>
      <c r="AG11" s="264"/>
      <c r="AH11" s="264"/>
      <c r="AI11" s="264"/>
      <c r="AJ11" s="264"/>
      <c r="AK11" s="264"/>
      <c r="AL11" s="264"/>
      <c r="AM11" s="264"/>
      <c r="AN11" s="264"/>
      <c r="AO11" s="264"/>
      <c r="AP11" s="264"/>
      <c r="AQ11" s="264"/>
      <c r="AR11" s="264"/>
      <c r="AS11" s="264"/>
      <c r="AT11" s="264"/>
      <c r="AU11" s="264"/>
      <c r="AV11" s="264"/>
      <c r="AW11" s="264"/>
      <c r="AX11" s="264"/>
      <c r="AY11" s="264"/>
      <c r="AZ11" s="264"/>
      <c r="BA11" s="264"/>
      <c r="BB11" s="264"/>
      <c r="BC11" s="264"/>
      <c r="BD11" s="264"/>
      <c r="BE11" s="264"/>
      <c r="BF11" s="264"/>
      <c r="BG11" s="264"/>
      <c r="BH11" s="264"/>
      <c r="BI11" s="264"/>
      <c r="BJ11" s="264"/>
      <c r="BK11" s="264"/>
      <c r="BL11" s="264"/>
      <c r="BM11" s="264"/>
      <c r="BN11" s="264"/>
      <c r="BO11" s="264"/>
      <c r="BP11" s="264"/>
      <c r="BQ11" s="264"/>
      <c r="BR11" s="264"/>
      <c r="BS11" s="264"/>
      <c r="BT11" s="264"/>
    </row>
    <row r="12" spans="1:72" x14ac:dyDescent="0.25">
      <c r="A12" s="255">
        <f>+A11+1</f>
        <v>2</v>
      </c>
      <c r="D12" s="267" t="s">
        <v>692</v>
      </c>
      <c r="E12" s="264"/>
      <c r="F12" s="264"/>
      <c r="G12" s="264"/>
      <c r="H12" s="264"/>
      <c r="I12" s="264"/>
      <c r="J12" s="264"/>
      <c r="K12" s="265"/>
      <c r="L12" s="264"/>
      <c r="M12" s="264"/>
      <c r="N12" s="264"/>
      <c r="O12" s="264"/>
      <c r="P12" s="264"/>
      <c r="Q12" s="264"/>
      <c r="R12" s="264"/>
      <c r="S12" s="264"/>
      <c r="T12" s="264"/>
      <c r="U12" s="264"/>
      <c r="V12" s="264"/>
      <c r="W12" s="264"/>
      <c r="X12" s="264"/>
      <c r="Y12" s="264"/>
      <c r="Z12" s="264"/>
      <c r="AA12" s="264"/>
      <c r="AB12" s="264"/>
      <c r="AC12" s="264"/>
      <c r="AD12" s="264"/>
      <c r="AE12" s="264"/>
      <c r="AF12" s="264"/>
      <c r="AG12" s="264"/>
      <c r="AH12" s="264"/>
      <c r="AI12" s="264"/>
      <c r="AJ12" s="264"/>
      <c r="AK12" s="264"/>
      <c r="AL12" s="264"/>
      <c r="AM12" s="264"/>
      <c r="AN12" s="264"/>
      <c r="AO12" s="264"/>
      <c r="AP12" s="264"/>
      <c r="AQ12" s="264"/>
      <c r="AR12" s="264"/>
      <c r="AS12" s="264"/>
      <c r="AT12" s="264"/>
      <c r="AU12" s="264"/>
      <c r="AV12" s="264"/>
      <c r="AW12" s="264"/>
      <c r="AX12" s="264"/>
      <c r="AY12" s="264"/>
      <c r="AZ12" s="264"/>
      <c r="BA12" s="264"/>
      <c r="BB12" s="264"/>
      <c r="BC12" s="264"/>
      <c r="BD12" s="264"/>
      <c r="BE12" s="264"/>
      <c r="BF12" s="264"/>
      <c r="BG12" s="264"/>
      <c r="BH12" s="264"/>
      <c r="BI12" s="264"/>
      <c r="BJ12" s="264"/>
      <c r="BK12" s="264"/>
      <c r="BL12" s="264"/>
      <c r="BM12" s="264"/>
      <c r="BN12" s="264"/>
      <c r="BO12" s="264"/>
      <c r="BP12" s="264"/>
      <c r="BQ12" s="264"/>
      <c r="BR12" s="264"/>
      <c r="BS12" s="264"/>
      <c r="BT12" s="264"/>
    </row>
    <row r="13" spans="1:72" x14ac:dyDescent="0.25">
      <c r="A13" s="255">
        <f t="shared" ref="A13:A28" si="0">+A12+1</f>
        <v>3</v>
      </c>
      <c r="B13" s="266">
        <v>501</v>
      </c>
      <c r="C13" s="266" t="s">
        <v>617</v>
      </c>
      <c r="D13" s="254" t="s">
        <v>507</v>
      </c>
      <c r="E13" s="264">
        <v>79334191.840000004</v>
      </c>
      <c r="F13" s="264">
        <v>38804034.734400757</v>
      </c>
      <c r="G13" s="264"/>
      <c r="H13" s="264"/>
      <c r="I13" s="264">
        <f t="shared" ref="I13:I20" si="1">SUM(F13:H13)</f>
        <v>38804034.734400757</v>
      </c>
      <c r="J13" s="264">
        <f t="shared" ref="J13:J20" si="2">IF(C13="v",I13*$J$8,I13*$J$6)</f>
        <v>37089392.406405531</v>
      </c>
      <c r="K13" s="265"/>
      <c r="L13" s="264"/>
      <c r="M13" s="264"/>
      <c r="N13" s="264"/>
      <c r="O13" s="264"/>
      <c r="P13" s="264"/>
      <c r="Q13" s="264"/>
      <c r="R13" s="264"/>
      <c r="S13" s="264"/>
      <c r="T13" s="264"/>
      <c r="U13" s="264"/>
      <c r="V13" s="264"/>
      <c r="W13" s="264"/>
      <c r="X13" s="264"/>
      <c r="Y13" s="264"/>
      <c r="Z13" s="264"/>
      <c r="AA13" s="264"/>
      <c r="AB13" s="264"/>
      <c r="AC13" s="264"/>
      <c r="AD13" s="264"/>
      <c r="AE13" s="264"/>
      <c r="AF13" s="264"/>
      <c r="AG13" s="264"/>
      <c r="AH13" s="264"/>
      <c r="AI13" s="264"/>
      <c r="AJ13" s="264"/>
      <c r="AK13" s="264"/>
      <c r="AL13" s="264"/>
      <c r="AM13" s="264"/>
      <c r="AN13" s="264"/>
      <c r="AO13" s="264"/>
      <c r="AP13" s="264"/>
      <c r="AQ13" s="264"/>
      <c r="AR13" s="264"/>
      <c r="AS13" s="264"/>
      <c r="AT13" s="264"/>
      <c r="AU13" s="264"/>
      <c r="AV13" s="264"/>
      <c r="AW13" s="264"/>
      <c r="AX13" s="264"/>
      <c r="AY13" s="264"/>
      <c r="AZ13" s="264"/>
      <c r="BA13" s="264"/>
      <c r="BB13" s="264"/>
      <c r="BC13" s="264"/>
      <c r="BD13" s="264"/>
      <c r="BE13" s="264"/>
      <c r="BF13" s="264"/>
      <c r="BG13" s="264"/>
      <c r="BH13" s="264"/>
      <c r="BI13" s="264"/>
      <c r="BJ13" s="264"/>
      <c r="BK13" s="264"/>
      <c r="BL13" s="264"/>
      <c r="BM13" s="264"/>
      <c r="BN13" s="264"/>
      <c r="BO13" s="264"/>
      <c r="BP13" s="264"/>
      <c r="BQ13" s="264"/>
      <c r="BR13" s="264"/>
      <c r="BS13" s="264"/>
      <c r="BT13" s="264"/>
    </row>
    <row r="14" spans="1:72" x14ac:dyDescent="0.25">
      <c r="A14" s="255">
        <f>+A13+1</f>
        <v>4</v>
      </c>
      <c r="B14" s="266">
        <v>547</v>
      </c>
      <c r="C14" s="266" t="s">
        <v>617</v>
      </c>
      <c r="D14" s="254" t="s">
        <v>508</v>
      </c>
      <c r="E14" s="264">
        <v>125903300.81000002</v>
      </c>
      <c r="F14" s="264">
        <v>132793717.47831185</v>
      </c>
      <c r="G14" s="264"/>
      <c r="H14" s="264"/>
      <c r="I14" s="264">
        <f t="shared" si="1"/>
        <v>132793717.47831185</v>
      </c>
      <c r="J14" s="264">
        <f t="shared" si="2"/>
        <v>126925932.5832969</v>
      </c>
      <c r="K14" s="265"/>
      <c r="L14" s="264"/>
      <c r="M14" s="264"/>
      <c r="N14" s="264"/>
      <c r="O14" s="264"/>
      <c r="P14" s="264"/>
      <c r="Q14" s="264"/>
      <c r="R14" s="264"/>
      <c r="S14" s="264"/>
      <c r="T14" s="264"/>
      <c r="U14" s="264"/>
      <c r="V14" s="264"/>
      <c r="W14" s="264"/>
      <c r="X14" s="264"/>
      <c r="Y14" s="264"/>
      <c r="Z14" s="264"/>
      <c r="AA14" s="264"/>
      <c r="AB14" s="264"/>
      <c r="AC14" s="264"/>
      <c r="AD14" s="264"/>
      <c r="AE14" s="264"/>
      <c r="AF14" s="264"/>
      <c r="AG14" s="264"/>
      <c r="AH14" s="264"/>
      <c r="AI14" s="264"/>
      <c r="AJ14" s="264"/>
      <c r="AK14" s="264"/>
      <c r="AL14" s="264"/>
      <c r="AM14" s="264"/>
      <c r="AN14" s="264"/>
      <c r="AO14" s="264"/>
      <c r="AP14" s="264"/>
      <c r="AQ14" s="264"/>
      <c r="AR14" s="264"/>
      <c r="AS14" s="264"/>
      <c r="AT14" s="264"/>
      <c r="AU14" s="264"/>
      <c r="AV14" s="264"/>
      <c r="AW14" s="264"/>
      <c r="AX14" s="264"/>
      <c r="AY14" s="264"/>
      <c r="AZ14" s="264"/>
      <c r="BA14" s="264"/>
      <c r="BB14" s="264"/>
      <c r="BC14" s="264"/>
      <c r="BD14" s="264"/>
      <c r="BE14" s="264"/>
      <c r="BF14" s="264"/>
      <c r="BG14" s="264"/>
      <c r="BH14" s="264"/>
      <c r="BI14" s="264"/>
      <c r="BJ14" s="264"/>
      <c r="BK14" s="264"/>
      <c r="BL14" s="264"/>
      <c r="BM14" s="264"/>
      <c r="BN14" s="264"/>
      <c r="BO14" s="264"/>
      <c r="BP14" s="264"/>
      <c r="BQ14" s="264"/>
      <c r="BR14" s="264"/>
      <c r="BS14" s="264"/>
      <c r="BT14" s="264"/>
    </row>
    <row r="15" spans="1:72" x14ac:dyDescent="0.25">
      <c r="A15" s="255">
        <f t="shared" si="0"/>
        <v>5</v>
      </c>
      <c r="B15" s="266">
        <v>555</v>
      </c>
      <c r="C15" s="266" t="s">
        <v>617</v>
      </c>
      <c r="D15" s="254" t="s">
        <v>509</v>
      </c>
      <c r="E15" s="264">
        <v>588866958.71446157</v>
      </c>
      <c r="F15" s="264">
        <v>509606182.99852371</v>
      </c>
      <c r="G15" s="264"/>
      <c r="H15" s="264"/>
      <c r="I15" s="264">
        <f t="shared" si="1"/>
        <v>509606182.99852371</v>
      </c>
      <c r="J15" s="264">
        <f t="shared" si="2"/>
        <v>487088103.68130493</v>
      </c>
      <c r="K15" s="265"/>
      <c r="L15" s="264"/>
      <c r="M15" s="264"/>
      <c r="N15" s="264"/>
      <c r="O15" s="264"/>
      <c r="P15" s="264"/>
      <c r="Q15" s="264"/>
      <c r="R15" s="264"/>
      <c r="S15" s="264"/>
      <c r="T15" s="264"/>
      <c r="U15" s="264"/>
      <c r="V15" s="264"/>
      <c r="W15" s="264"/>
      <c r="X15" s="264"/>
      <c r="Y15" s="264"/>
      <c r="Z15" s="264"/>
      <c r="AA15" s="264"/>
      <c r="AB15" s="264"/>
      <c r="AC15" s="264"/>
      <c r="AD15" s="264"/>
      <c r="AE15" s="264"/>
      <c r="AF15" s="264"/>
      <c r="AG15" s="264"/>
      <c r="AH15" s="264"/>
      <c r="AI15" s="264"/>
      <c r="AJ15" s="264"/>
      <c r="AK15" s="264"/>
      <c r="AL15" s="264"/>
      <c r="AM15" s="264"/>
      <c r="AN15" s="264"/>
      <c r="AO15" s="264"/>
      <c r="AP15" s="264"/>
      <c r="AQ15" s="264"/>
      <c r="AR15" s="264"/>
      <c r="AS15" s="264"/>
      <c r="AT15" s="264"/>
      <c r="AU15" s="264"/>
      <c r="AV15" s="264"/>
      <c r="AW15" s="264"/>
      <c r="AX15" s="264"/>
      <c r="AY15" s="264"/>
      <c r="AZ15" s="264"/>
      <c r="BA15" s="264"/>
      <c r="BB15" s="264"/>
      <c r="BC15" s="264"/>
      <c r="BD15" s="264"/>
      <c r="BE15" s="264"/>
      <c r="BF15" s="264"/>
      <c r="BG15" s="264"/>
      <c r="BH15" s="264"/>
      <c r="BI15" s="264"/>
      <c r="BJ15" s="264"/>
      <c r="BK15" s="264"/>
      <c r="BL15" s="264"/>
      <c r="BM15" s="264"/>
      <c r="BN15" s="264"/>
      <c r="BO15" s="264"/>
      <c r="BP15" s="264"/>
      <c r="BQ15" s="264"/>
      <c r="BR15" s="264"/>
      <c r="BS15" s="264"/>
      <c r="BT15" s="264"/>
    </row>
    <row r="16" spans="1:72" x14ac:dyDescent="0.25">
      <c r="A16" s="255">
        <f t="shared" si="0"/>
        <v>6</v>
      </c>
      <c r="B16" s="266">
        <v>557</v>
      </c>
      <c r="C16" s="266" t="s">
        <v>612</v>
      </c>
      <c r="D16" s="254" t="s">
        <v>510</v>
      </c>
      <c r="E16" s="264">
        <v>11072849.4899999</v>
      </c>
      <c r="F16" s="264">
        <v>9989396.959999999</v>
      </c>
      <c r="G16" s="264">
        <v>-1833483.02</v>
      </c>
      <c r="H16" s="264">
        <v>-323117.56</v>
      </c>
      <c r="I16" s="264">
        <f t="shared" si="1"/>
        <v>7832796.3799999999</v>
      </c>
      <c r="J16" s="264">
        <f t="shared" si="2"/>
        <v>7832796.3799999999</v>
      </c>
      <c r="K16" s="265"/>
      <c r="L16" s="264"/>
      <c r="M16" s="264"/>
      <c r="N16" s="264"/>
      <c r="O16" s="264"/>
      <c r="P16" s="264"/>
      <c r="Q16" s="264"/>
      <c r="R16" s="264"/>
      <c r="S16" s="264"/>
      <c r="T16" s="264"/>
      <c r="U16" s="264"/>
      <c r="V16" s="264"/>
      <c r="W16" s="264"/>
      <c r="X16" s="264"/>
      <c r="Y16" s="264"/>
      <c r="Z16" s="264"/>
      <c r="AA16" s="264"/>
      <c r="AB16" s="264"/>
      <c r="AC16" s="264"/>
      <c r="AD16" s="264"/>
      <c r="AE16" s="264"/>
      <c r="AF16" s="264"/>
      <c r="AG16" s="264"/>
      <c r="AH16" s="264"/>
      <c r="AI16" s="264"/>
      <c r="AJ16" s="264"/>
      <c r="AK16" s="264"/>
      <c r="AL16" s="264"/>
      <c r="AM16" s="264"/>
      <c r="AN16" s="264"/>
      <c r="AO16" s="264"/>
      <c r="AP16" s="264"/>
      <c r="AQ16" s="264"/>
      <c r="AR16" s="264"/>
      <c r="AS16" s="264"/>
      <c r="AT16" s="264"/>
      <c r="AU16" s="264"/>
      <c r="AV16" s="264"/>
      <c r="AW16" s="264"/>
      <c r="AX16" s="264"/>
      <c r="AY16" s="264"/>
      <c r="AZ16" s="264"/>
      <c r="BA16" s="264"/>
      <c r="BB16" s="264"/>
      <c r="BC16" s="264"/>
      <c r="BD16" s="264"/>
      <c r="BE16" s="264"/>
      <c r="BF16" s="264"/>
      <c r="BG16" s="264"/>
      <c r="BH16" s="264"/>
      <c r="BI16" s="264"/>
      <c r="BJ16" s="264"/>
      <c r="BK16" s="264"/>
      <c r="BL16" s="264"/>
      <c r="BM16" s="264"/>
      <c r="BN16" s="264"/>
      <c r="BO16" s="264"/>
      <c r="BP16" s="264"/>
      <c r="BQ16" s="264"/>
      <c r="BR16" s="264"/>
      <c r="BS16" s="264"/>
      <c r="BT16" s="264"/>
    </row>
    <row r="17" spans="1:72" x14ac:dyDescent="0.25">
      <c r="A17" s="255">
        <f t="shared" si="0"/>
        <v>7</v>
      </c>
      <c r="B17" s="266">
        <v>557</v>
      </c>
      <c r="C17" s="266" t="s">
        <v>617</v>
      </c>
      <c r="D17" s="254" t="s">
        <v>693</v>
      </c>
      <c r="E17" s="264">
        <v>446665.22</v>
      </c>
      <c r="F17" s="264">
        <v>446665.22</v>
      </c>
      <c r="G17" s="264"/>
      <c r="H17" s="264"/>
      <c r="I17" s="264">
        <f t="shared" si="1"/>
        <v>446665.22</v>
      </c>
      <c r="J17" s="264">
        <f t="shared" si="2"/>
        <v>426928.32671306725</v>
      </c>
      <c r="K17" s="265"/>
      <c r="L17" s="264"/>
      <c r="M17" s="264"/>
      <c r="N17" s="264"/>
      <c r="O17" s="264"/>
      <c r="P17" s="264"/>
      <c r="Q17" s="264"/>
      <c r="R17" s="264"/>
      <c r="S17" s="264"/>
      <c r="T17" s="264"/>
      <c r="U17" s="264"/>
      <c r="V17" s="264"/>
      <c r="W17" s="264"/>
      <c r="X17" s="264"/>
      <c r="Y17" s="264"/>
      <c r="Z17" s="264"/>
      <c r="AA17" s="264"/>
      <c r="AB17" s="264"/>
      <c r="AC17" s="264"/>
      <c r="AD17" s="264"/>
      <c r="AE17" s="264"/>
      <c r="AF17" s="264"/>
      <c r="AG17" s="264"/>
      <c r="AH17" s="264"/>
      <c r="AI17" s="264"/>
      <c r="AJ17" s="264"/>
      <c r="AK17" s="264"/>
      <c r="AL17" s="264"/>
      <c r="AM17" s="264"/>
      <c r="AN17" s="264"/>
      <c r="AO17" s="264"/>
      <c r="AP17" s="264"/>
      <c r="AQ17" s="264"/>
      <c r="AR17" s="264"/>
      <c r="AS17" s="264"/>
      <c r="AT17" s="264"/>
      <c r="AU17" s="264"/>
      <c r="AV17" s="264"/>
      <c r="AW17" s="264"/>
      <c r="AX17" s="264"/>
      <c r="AY17" s="264"/>
      <c r="AZ17" s="264"/>
      <c r="BA17" s="264"/>
      <c r="BB17" s="264"/>
      <c r="BC17" s="264"/>
      <c r="BD17" s="264"/>
      <c r="BE17" s="264"/>
      <c r="BF17" s="264"/>
      <c r="BG17" s="264"/>
      <c r="BH17" s="264"/>
      <c r="BI17" s="264"/>
      <c r="BJ17" s="264"/>
      <c r="BK17" s="264"/>
      <c r="BL17" s="264"/>
      <c r="BM17" s="264"/>
      <c r="BN17" s="264"/>
      <c r="BO17" s="264"/>
      <c r="BP17" s="264"/>
      <c r="BQ17" s="264"/>
      <c r="BR17" s="264"/>
      <c r="BS17" s="264"/>
      <c r="BT17" s="264"/>
    </row>
    <row r="18" spans="1:72" x14ac:dyDescent="0.25">
      <c r="A18" s="255">
        <f t="shared" si="0"/>
        <v>8</v>
      </c>
      <c r="B18" s="266">
        <v>565</v>
      </c>
      <c r="C18" s="266" t="s">
        <v>617</v>
      </c>
      <c r="D18" s="254" t="s">
        <v>511</v>
      </c>
      <c r="E18" s="264">
        <v>115807777.5999999</v>
      </c>
      <c r="F18" s="264">
        <v>117686637.85096911</v>
      </c>
      <c r="G18" s="264"/>
      <c r="H18" s="264"/>
      <c r="I18" s="264">
        <f t="shared" si="1"/>
        <v>117686637.85096911</v>
      </c>
      <c r="J18" s="264">
        <f t="shared" si="2"/>
        <v>112486392.77130413</v>
      </c>
      <c r="K18" s="265"/>
      <c r="L18" s="264"/>
      <c r="M18" s="264"/>
      <c r="N18" s="264"/>
      <c r="O18" s="264"/>
      <c r="P18" s="264"/>
      <c r="Q18" s="264"/>
      <c r="R18" s="264"/>
      <c r="S18" s="264"/>
      <c r="T18" s="264"/>
      <c r="U18" s="264"/>
      <c r="V18" s="264"/>
      <c r="W18" s="264"/>
      <c r="X18" s="264"/>
      <c r="Y18" s="264"/>
      <c r="Z18" s="264"/>
      <c r="AA18" s="264"/>
      <c r="AB18" s="264"/>
      <c r="AC18" s="264"/>
      <c r="AD18" s="264"/>
      <c r="AE18" s="264"/>
      <c r="AF18" s="264"/>
      <c r="AG18" s="264"/>
      <c r="AH18" s="264"/>
      <c r="AI18" s="264"/>
      <c r="AJ18" s="264"/>
      <c r="AK18" s="264"/>
      <c r="AL18" s="264"/>
      <c r="AM18" s="264"/>
      <c r="AN18" s="264"/>
      <c r="AO18" s="264"/>
      <c r="AP18" s="264"/>
      <c r="AQ18" s="264"/>
      <c r="AR18" s="264"/>
      <c r="AS18" s="264"/>
      <c r="AT18" s="264"/>
      <c r="AU18" s="264"/>
      <c r="AV18" s="264"/>
      <c r="AW18" s="264"/>
      <c r="AX18" s="264"/>
      <c r="AY18" s="264"/>
      <c r="AZ18" s="264"/>
      <c r="BA18" s="264"/>
      <c r="BB18" s="264"/>
      <c r="BC18" s="264"/>
      <c r="BD18" s="264"/>
      <c r="BE18" s="264"/>
      <c r="BF18" s="264"/>
      <c r="BG18" s="264"/>
      <c r="BH18" s="264"/>
      <c r="BI18" s="264"/>
      <c r="BJ18" s="264"/>
      <c r="BK18" s="264"/>
      <c r="BL18" s="264"/>
      <c r="BM18" s="264"/>
      <c r="BN18" s="264"/>
      <c r="BO18" s="264"/>
      <c r="BP18" s="264"/>
      <c r="BQ18" s="264"/>
      <c r="BR18" s="264"/>
      <c r="BS18" s="264"/>
      <c r="BT18" s="264"/>
    </row>
    <row r="19" spans="1:72" x14ac:dyDescent="0.25">
      <c r="A19" s="255">
        <f t="shared" si="0"/>
        <v>9</v>
      </c>
      <c r="B19" s="266">
        <v>447</v>
      </c>
      <c r="C19" s="266" t="s">
        <v>617</v>
      </c>
      <c r="D19" s="254" t="s">
        <v>512</v>
      </c>
      <c r="E19" s="264">
        <v>-155333122.24000001</v>
      </c>
      <c r="F19" s="264">
        <v>-9461726.5947000012</v>
      </c>
      <c r="G19" s="264"/>
      <c r="H19" s="264"/>
      <c r="I19" s="264">
        <f t="shared" si="1"/>
        <v>-9461726.5947000012</v>
      </c>
      <c r="J19" s="264">
        <f t="shared" si="2"/>
        <v>-9043639.2224400174</v>
      </c>
      <c r="K19" s="265"/>
      <c r="L19" s="264"/>
      <c r="M19" s="264"/>
      <c r="N19" s="264"/>
      <c r="O19" s="264"/>
      <c r="P19" s="264"/>
      <c r="Q19" s="264"/>
      <c r="R19" s="264"/>
      <c r="S19" s="264"/>
      <c r="T19" s="264"/>
      <c r="U19" s="264"/>
      <c r="V19" s="264"/>
      <c r="W19" s="264"/>
      <c r="X19" s="264"/>
      <c r="Y19" s="264"/>
      <c r="Z19" s="264"/>
      <c r="AA19" s="264"/>
      <c r="AB19" s="264"/>
      <c r="AC19" s="264"/>
      <c r="AD19" s="264"/>
      <c r="AE19" s="264"/>
      <c r="AF19" s="264"/>
      <c r="AG19" s="264"/>
      <c r="AH19" s="264"/>
      <c r="AI19" s="264"/>
      <c r="AJ19" s="264"/>
      <c r="AK19" s="264"/>
      <c r="AL19" s="264"/>
      <c r="AM19" s="264"/>
      <c r="AN19" s="264"/>
      <c r="AO19" s="264"/>
      <c r="AP19" s="264"/>
      <c r="AQ19" s="264"/>
      <c r="AR19" s="264"/>
      <c r="AS19" s="264"/>
      <c r="AT19" s="264"/>
      <c r="AU19" s="264"/>
      <c r="AV19" s="264"/>
      <c r="AW19" s="264"/>
      <c r="AX19" s="264"/>
      <c r="AY19" s="264"/>
      <c r="AZ19" s="264"/>
      <c r="BA19" s="264"/>
      <c r="BB19" s="264"/>
      <c r="BC19" s="264"/>
      <c r="BD19" s="264"/>
      <c r="BE19" s="264"/>
      <c r="BF19" s="264"/>
      <c r="BG19" s="264"/>
      <c r="BH19" s="264"/>
      <c r="BI19" s="264"/>
      <c r="BJ19" s="264"/>
      <c r="BK19" s="264"/>
      <c r="BL19" s="264"/>
      <c r="BM19" s="264"/>
      <c r="BN19" s="264"/>
      <c r="BO19" s="264"/>
      <c r="BP19" s="264"/>
      <c r="BQ19" s="264"/>
      <c r="BR19" s="264"/>
      <c r="BS19" s="264"/>
      <c r="BT19" s="264"/>
    </row>
    <row r="20" spans="1:72" x14ac:dyDescent="0.25">
      <c r="A20" s="255">
        <f t="shared" si="0"/>
        <v>10</v>
      </c>
      <c r="B20" s="266">
        <v>456</v>
      </c>
      <c r="C20" s="266" t="s">
        <v>617</v>
      </c>
      <c r="D20" s="254" t="s">
        <v>513</v>
      </c>
      <c r="E20" s="264">
        <v>-69470811.980000019</v>
      </c>
      <c r="F20" s="264">
        <v>-28825990.497417644</v>
      </c>
      <c r="G20" s="264"/>
      <c r="H20" s="264"/>
      <c r="I20" s="264">
        <f t="shared" si="1"/>
        <v>-28825990.497417644</v>
      </c>
      <c r="J20" s="264">
        <f t="shared" si="2"/>
        <v>-27552250.181711692</v>
      </c>
      <c r="K20" s="265"/>
      <c r="L20" s="264"/>
      <c r="M20" s="264"/>
      <c r="N20" s="264"/>
      <c r="O20" s="264"/>
      <c r="P20" s="264"/>
      <c r="Q20" s="264"/>
      <c r="R20" s="264"/>
      <c r="S20" s="264"/>
      <c r="T20" s="264"/>
      <c r="U20" s="264"/>
      <c r="V20" s="264"/>
      <c r="W20" s="264"/>
      <c r="X20" s="264"/>
      <c r="Y20" s="264"/>
      <c r="Z20" s="264"/>
      <c r="AA20" s="264"/>
      <c r="AB20" s="264"/>
      <c r="AC20" s="264"/>
      <c r="AD20" s="264"/>
      <c r="AE20" s="264"/>
      <c r="AF20" s="264"/>
      <c r="AG20" s="264"/>
      <c r="AH20" s="264"/>
      <c r="AI20" s="264"/>
      <c r="AJ20" s="264"/>
      <c r="AK20" s="264"/>
      <c r="AL20" s="264"/>
      <c r="AM20" s="264"/>
      <c r="AN20" s="264"/>
      <c r="AO20" s="264"/>
      <c r="AP20" s="264"/>
      <c r="AQ20" s="264"/>
      <c r="AR20" s="264"/>
      <c r="AS20" s="264"/>
      <c r="AT20" s="264"/>
      <c r="AU20" s="264"/>
      <c r="AV20" s="264"/>
      <c r="AW20" s="264"/>
      <c r="AX20" s="264"/>
      <c r="AY20" s="264"/>
      <c r="AZ20" s="264"/>
      <c r="BA20" s="264"/>
      <c r="BB20" s="264"/>
      <c r="BC20" s="264"/>
      <c r="BD20" s="264"/>
      <c r="BE20" s="264"/>
      <c r="BF20" s="264"/>
      <c r="BG20" s="264"/>
      <c r="BH20" s="264"/>
      <c r="BI20" s="264"/>
      <c r="BJ20" s="264"/>
      <c r="BK20" s="264"/>
      <c r="BL20" s="264"/>
      <c r="BM20" s="264"/>
      <c r="BN20" s="264"/>
      <c r="BO20" s="264"/>
      <c r="BP20" s="264"/>
      <c r="BQ20" s="264"/>
      <c r="BR20" s="264"/>
      <c r="BS20" s="264"/>
      <c r="BT20" s="264"/>
    </row>
    <row r="21" spans="1:72" x14ac:dyDescent="0.25">
      <c r="A21" s="255">
        <f t="shared" si="0"/>
        <v>11</v>
      </c>
      <c r="B21" s="266"/>
      <c r="C21" s="266"/>
      <c r="D21" s="267" t="s">
        <v>142</v>
      </c>
      <c r="E21" s="268">
        <f t="shared" ref="E21:J21" si="3">SUM(E13:E20)</f>
        <v>696627809.45446146</v>
      </c>
      <c r="F21" s="268">
        <f t="shared" si="3"/>
        <v>771038918.15008783</v>
      </c>
      <c r="G21" s="268">
        <f t="shared" si="3"/>
        <v>-1833483.02</v>
      </c>
      <c r="H21" s="268">
        <f t="shared" si="3"/>
        <v>-323117.56</v>
      </c>
      <c r="I21" s="268">
        <f t="shared" si="3"/>
        <v>768882317.57008779</v>
      </c>
      <c r="J21" s="268">
        <f t="shared" si="3"/>
        <v>735253656.74487293</v>
      </c>
      <c r="K21" s="265"/>
      <c r="L21" s="264"/>
      <c r="M21" s="264"/>
      <c r="N21" s="264"/>
      <c r="O21" s="264"/>
      <c r="P21" s="264"/>
      <c r="Q21" s="264"/>
      <c r="R21" s="264"/>
      <c r="S21" s="264"/>
      <c r="T21" s="264"/>
      <c r="U21" s="264"/>
      <c r="V21" s="264"/>
      <c r="W21" s="264"/>
      <c r="X21" s="264"/>
      <c r="Y21" s="264"/>
      <c r="Z21" s="264"/>
      <c r="AA21" s="264"/>
      <c r="AB21" s="264"/>
      <c r="AC21" s="264"/>
      <c r="AD21" s="264"/>
      <c r="AE21" s="264"/>
      <c r="AF21" s="264"/>
      <c r="AG21" s="264"/>
      <c r="AH21" s="264"/>
      <c r="AI21" s="264"/>
      <c r="AJ21" s="264"/>
      <c r="AK21" s="264"/>
      <c r="AL21" s="264"/>
      <c r="AM21" s="264"/>
      <c r="AN21" s="264"/>
      <c r="AO21" s="264"/>
      <c r="AP21" s="264"/>
      <c r="AQ21" s="264"/>
      <c r="AR21" s="264"/>
      <c r="AS21" s="264"/>
      <c r="AT21" s="264"/>
      <c r="AU21" s="264"/>
      <c r="AV21" s="264"/>
      <c r="AW21" s="264"/>
      <c r="AX21" s="264"/>
      <c r="AY21" s="264"/>
      <c r="AZ21" s="264"/>
      <c r="BA21" s="264"/>
      <c r="BB21" s="264"/>
      <c r="BC21" s="264"/>
      <c r="BD21" s="264"/>
      <c r="BE21" s="264"/>
      <c r="BF21" s="264"/>
      <c r="BG21" s="264"/>
      <c r="BH21" s="264"/>
      <c r="BI21" s="264"/>
      <c r="BJ21" s="264"/>
      <c r="BK21" s="264"/>
      <c r="BL21" s="264"/>
      <c r="BM21" s="264"/>
      <c r="BN21" s="264"/>
      <c r="BO21" s="264"/>
      <c r="BP21" s="264"/>
      <c r="BQ21" s="264"/>
      <c r="BR21" s="264"/>
      <c r="BS21" s="264"/>
      <c r="BT21" s="264"/>
    </row>
    <row r="22" spans="1:72" x14ac:dyDescent="0.25">
      <c r="A22" s="255">
        <f t="shared" si="0"/>
        <v>12</v>
      </c>
      <c r="B22" s="266"/>
      <c r="C22" s="266"/>
      <c r="D22" s="269" t="s">
        <v>694</v>
      </c>
      <c r="E22" s="264">
        <v>0</v>
      </c>
      <c r="F22" s="264">
        <v>0</v>
      </c>
      <c r="G22" s="264"/>
      <c r="H22" s="264"/>
      <c r="I22" s="264">
        <f>+F21+G21+H21-I21</f>
        <v>0</v>
      </c>
      <c r="J22" s="264"/>
      <c r="K22" s="265"/>
      <c r="L22" s="264"/>
      <c r="M22" s="264"/>
      <c r="N22" s="264"/>
      <c r="O22" s="264"/>
      <c r="P22" s="264"/>
      <c r="Q22" s="264"/>
      <c r="R22" s="264"/>
      <c r="S22" s="264"/>
      <c r="T22" s="264"/>
      <c r="U22" s="264"/>
      <c r="V22" s="264"/>
      <c r="W22" s="264"/>
      <c r="X22" s="264"/>
      <c r="Y22" s="264"/>
      <c r="Z22" s="264"/>
      <c r="AA22" s="264"/>
      <c r="AB22" s="264"/>
      <c r="AC22" s="264"/>
      <c r="AD22" s="264"/>
      <c r="AE22" s="264"/>
      <c r="AF22" s="264"/>
      <c r="AG22" s="264"/>
      <c r="AH22" s="264"/>
      <c r="AI22" s="264"/>
      <c r="AJ22" s="264"/>
      <c r="AK22" s="264"/>
      <c r="AL22" s="264"/>
      <c r="AM22" s="264"/>
      <c r="AN22" s="264"/>
      <c r="AO22" s="264"/>
      <c r="AP22" s="264"/>
      <c r="AQ22" s="264"/>
      <c r="AR22" s="264"/>
      <c r="AS22" s="264"/>
      <c r="AT22" s="264"/>
      <c r="AU22" s="264"/>
      <c r="AV22" s="264"/>
      <c r="AW22" s="264"/>
      <c r="AX22" s="264"/>
      <c r="AY22" s="264"/>
      <c r="AZ22" s="264"/>
      <c r="BA22" s="264"/>
      <c r="BB22" s="264"/>
      <c r="BC22" s="264"/>
      <c r="BD22" s="264"/>
      <c r="BE22" s="264"/>
      <c r="BF22" s="264"/>
      <c r="BG22" s="264"/>
      <c r="BH22" s="264"/>
      <c r="BI22" s="264"/>
      <c r="BJ22" s="264"/>
      <c r="BK22" s="264"/>
      <c r="BL22" s="264"/>
      <c r="BM22" s="264"/>
      <c r="BN22" s="264"/>
      <c r="BO22" s="264"/>
      <c r="BP22" s="264"/>
      <c r="BQ22" s="264"/>
      <c r="BR22" s="264"/>
      <c r="BS22" s="264"/>
      <c r="BT22" s="264"/>
    </row>
    <row r="23" spans="1:72" x14ac:dyDescent="0.25">
      <c r="A23" s="255">
        <f t="shared" si="0"/>
        <v>13</v>
      </c>
      <c r="B23" s="266"/>
      <c r="C23" s="266"/>
      <c r="D23" s="267" t="s">
        <v>515</v>
      </c>
      <c r="E23" s="264"/>
      <c r="F23" s="264"/>
      <c r="G23" s="264"/>
      <c r="H23" s="264"/>
      <c r="I23" s="264"/>
      <c r="J23" s="264"/>
      <c r="K23" s="265"/>
      <c r="L23" s="264"/>
      <c r="M23" s="264"/>
      <c r="N23" s="264"/>
      <c r="O23" s="264"/>
      <c r="P23" s="264"/>
      <c r="Q23" s="264"/>
      <c r="R23" s="264"/>
      <c r="S23" s="264"/>
      <c r="T23" s="264"/>
      <c r="U23" s="264"/>
      <c r="V23" s="264"/>
      <c r="W23" s="264"/>
      <c r="X23" s="264"/>
      <c r="Y23" s="264"/>
      <c r="Z23" s="264"/>
      <c r="AA23" s="264"/>
      <c r="AB23" s="264"/>
      <c r="AC23" s="264"/>
      <c r="AD23" s="264"/>
      <c r="AE23" s="264"/>
      <c r="AF23" s="264"/>
      <c r="AG23" s="264"/>
      <c r="AH23" s="264"/>
      <c r="AI23" s="264"/>
      <c r="AJ23" s="264"/>
      <c r="AK23" s="264"/>
      <c r="AL23" s="264"/>
      <c r="AM23" s="264"/>
      <c r="AN23" s="264"/>
      <c r="AO23" s="264"/>
      <c r="AP23" s="264"/>
      <c r="AQ23" s="264"/>
      <c r="AR23" s="264"/>
      <c r="AS23" s="264"/>
      <c r="AT23" s="264"/>
      <c r="AU23" s="264"/>
      <c r="AV23" s="264"/>
      <c r="AW23" s="264"/>
      <c r="AX23" s="264"/>
      <c r="AY23" s="264"/>
      <c r="AZ23" s="264"/>
      <c r="BA23" s="264"/>
      <c r="BB23" s="264"/>
      <c r="BC23" s="264"/>
      <c r="BD23" s="264"/>
      <c r="BE23" s="264"/>
      <c r="BF23" s="264"/>
      <c r="BG23" s="264"/>
      <c r="BH23" s="264"/>
      <c r="BI23" s="264"/>
      <c r="BJ23" s="264"/>
      <c r="BK23" s="264"/>
      <c r="BL23" s="264"/>
      <c r="BM23" s="264"/>
      <c r="BN23" s="264"/>
      <c r="BO23" s="264"/>
      <c r="BP23" s="264"/>
      <c r="BQ23" s="264"/>
      <c r="BR23" s="264"/>
      <c r="BS23" s="264"/>
      <c r="BT23" s="264"/>
    </row>
    <row r="24" spans="1:72" x14ac:dyDescent="0.25">
      <c r="A24" s="255">
        <f t="shared" si="0"/>
        <v>14</v>
      </c>
      <c r="B24" s="266" t="s">
        <v>695</v>
      </c>
      <c r="C24" s="266" t="s">
        <v>612</v>
      </c>
      <c r="D24" s="270" t="s">
        <v>516</v>
      </c>
      <c r="E24" s="264">
        <v>127167992.89</v>
      </c>
      <c r="F24" s="264">
        <v>116323830.74835677</v>
      </c>
      <c r="G24" s="264">
        <v>-6141737.9100000001</v>
      </c>
      <c r="H24" s="264">
        <v>-1619460.36</v>
      </c>
      <c r="I24" s="264">
        <f>SUM(F24:H24)</f>
        <v>108562632.47835678</v>
      </c>
      <c r="J24" s="264">
        <f>IF(C24="v",I24*$J$8,I24*$J$6)</f>
        <v>108562632.47835678</v>
      </c>
      <c r="K24" s="265"/>
      <c r="L24" s="264"/>
      <c r="M24" s="264"/>
      <c r="N24" s="264"/>
      <c r="O24" s="264"/>
      <c r="P24" s="264"/>
      <c r="Q24" s="264"/>
      <c r="R24" s="264"/>
      <c r="S24" s="264"/>
      <c r="T24" s="264"/>
      <c r="U24" s="264"/>
      <c r="V24" s="264"/>
      <c r="W24" s="264"/>
      <c r="X24" s="264"/>
      <c r="Y24" s="264"/>
      <c r="Z24" s="264"/>
      <c r="AA24" s="264"/>
      <c r="AB24" s="264"/>
      <c r="AC24" s="264"/>
      <c r="AD24" s="264"/>
      <c r="AE24" s="264"/>
      <c r="AF24" s="264"/>
      <c r="AG24" s="264"/>
      <c r="AH24" s="264"/>
      <c r="AI24" s="264"/>
      <c r="AJ24" s="264"/>
      <c r="AK24" s="264"/>
      <c r="AL24" s="264"/>
      <c r="AM24" s="264"/>
      <c r="AN24" s="264"/>
      <c r="AO24" s="264"/>
      <c r="AP24" s="264"/>
      <c r="AQ24" s="264"/>
      <c r="AR24" s="264"/>
      <c r="AS24" s="264"/>
      <c r="AT24" s="264"/>
      <c r="AU24" s="264"/>
      <c r="AV24" s="264"/>
      <c r="AW24" s="264"/>
      <c r="AX24" s="264"/>
      <c r="AY24" s="264"/>
      <c r="AZ24" s="264"/>
      <c r="BA24" s="264"/>
      <c r="BB24" s="264"/>
      <c r="BC24" s="264"/>
      <c r="BD24" s="264"/>
      <c r="BE24" s="264"/>
      <c r="BF24" s="264"/>
      <c r="BG24" s="264"/>
      <c r="BH24" s="264"/>
      <c r="BI24" s="264"/>
      <c r="BJ24" s="264"/>
      <c r="BK24" s="264"/>
      <c r="BL24" s="264"/>
      <c r="BM24" s="264"/>
      <c r="BN24" s="264"/>
      <c r="BO24" s="264"/>
      <c r="BP24" s="264"/>
      <c r="BQ24" s="264"/>
      <c r="BR24" s="264"/>
      <c r="BS24" s="264"/>
      <c r="BT24" s="264"/>
    </row>
    <row r="25" spans="1:72" x14ac:dyDescent="0.25">
      <c r="A25" s="255">
        <f t="shared" si="0"/>
        <v>15</v>
      </c>
      <c r="B25" s="266" t="s">
        <v>695</v>
      </c>
      <c r="C25" s="266" t="s">
        <v>612</v>
      </c>
      <c r="D25" s="267" t="s">
        <v>696</v>
      </c>
      <c r="E25" s="264">
        <v>876514.03</v>
      </c>
      <c r="F25" s="264">
        <v>876514.03</v>
      </c>
      <c r="G25" s="264"/>
      <c r="H25" s="264"/>
      <c r="I25" s="264">
        <f>SUM(F25:H25)</f>
        <v>876514.03</v>
      </c>
      <c r="J25" s="264">
        <f>IF(C25="v",I25*$J$8,I25*$J$6)</f>
        <v>876514.03</v>
      </c>
      <c r="K25" s="265"/>
      <c r="L25" s="264"/>
      <c r="M25" s="264"/>
      <c r="N25" s="264"/>
      <c r="O25" s="264"/>
      <c r="P25" s="264"/>
      <c r="Q25" s="264"/>
      <c r="R25" s="264"/>
      <c r="S25" s="264"/>
      <c r="T25" s="264"/>
      <c r="U25" s="264"/>
      <c r="V25" s="264"/>
      <c r="W25" s="264"/>
      <c r="X25" s="264"/>
      <c r="Y25" s="264"/>
      <c r="Z25" s="264"/>
      <c r="AA25" s="264"/>
      <c r="AB25" s="264"/>
      <c r="AC25" s="264"/>
      <c r="AD25" s="264"/>
      <c r="AE25" s="264"/>
      <c r="AF25" s="264"/>
      <c r="AG25" s="264"/>
      <c r="AH25" s="264"/>
      <c r="AI25" s="264"/>
      <c r="AJ25" s="264"/>
      <c r="AK25" s="264"/>
      <c r="AL25" s="264"/>
      <c r="AM25" s="264"/>
      <c r="AN25" s="264"/>
      <c r="AO25" s="264"/>
      <c r="AP25" s="264"/>
      <c r="AQ25" s="264"/>
      <c r="AR25" s="264"/>
      <c r="AS25" s="264"/>
      <c r="AT25" s="264"/>
      <c r="AU25" s="264"/>
      <c r="AV25" s="264"/>
      <c r="AW25" s="264"/>
      <c r="AX25" s="264"/>
      <c r="AY25" s="264"/>
      <c r="AZ25" s="264"/>
      <c r="BA25" s="264"/>
      <c r="BB25" s="264"/>
      <c r="BC25" s="264"/>
      <c r="BD25" s="264"/>
      <c r="BE25" s="264"/>
      <c r="BF25" s="264"/>
      <c r="BG25" s="264"/>
      <c r="BH25" s="264"/>
      <c r="BI25" s="264"/>
      <c r="BJ25" s="264"/>
      <c r="BK25" s="264"/>
      <c r="BL25" s="264"/>
      <c r="BM25" s="264"/>
      <c r="BN25" s="264"/>
      <c r="BO25" s="264"/>
      <c r="BP25" s="264"/>
      <c r="BQ25" s="264"/>
      <c r="BR25" s="264"/>
      <c r="BS25" s="264"/>
      <c r="BT25" s="264"/>
    </row>
    <row r="26" spans="1:72" x14ac:dyDescent="0.25">
      <c r="A26" s="255">
        <f t="shared" si="0"/>
        <v>16</v>
      </c>
      <c r="B26" s="266" t="s">
        <v>697</v>
      </c>
      <c r="C26" s="266" t="s">
        <v>612</v>
      </c>
      <c r="D26" s="267" t="s">
        <v>698</v>
      </c>
      <c r="E26" s="264">
        <v>-7201724.9500000002</v>
      </c>
      <c r="F26" s="264">
        <v>-8666881.7085096519</v>
      </c>
      <c r="G26" s="264"/>
      <c r="H26" s="264"/>
      <c r="I26" s="264">
        <f>SUM(F26:H26)</f>
        <v>-8666881.7085096519</v>
      </c>
      <c r="J26" s="264">
        <f>IF(C26="v",I26*$J$8,I26*$J$6)</f>
        <v>-8666881.7085096519</v>
      </c>
      <c r="K26" s="265"/>
      <c r="L26" s="264"/>
      <c r="M26" s="264"/>
      <c r="N26" s="264"/>
      <c r="O26" s="264"/>
      <c r="P26" s="264"/>
      <c r="Q26" s="264"/>
      <c r="R26" s="264"/>
      <c r="S26" s="264"/>
      <c r="T26" s="264"/>
      <c r="U26" s="264"/>
      <c r="V26" s="264"/>
      <c r="W26" s="264"/>
      <c r="X26" s="264"/>
      <c r="Y26" s="264"/>
      <c r="Z26" s="264"/>
      <c r="AA26" s="264"/>
      <c r="AB26" s="264"/>
      <c r="AC26" s="264"/>
      <c r="AD26" s="264"/>
      <c r="AE26" s="264"/>
      <c r="AF26" s="264"/>
      <c r="AG26" s="264"/>
      <c r="AH26" s="264"/>
      <c r="AI26" s="264"/>
      <c r="AJ26" s="264"/>
      <c r="AK26" s="264"/>
      <c r="AL26" s="264"/>
      <c r="AM26" s="264"/>
      <c r="AN26" s="264"/>
      <c r="AO26" s="264"/>
      <c r="AP26" s="264"/>
      <c r="AQ26" s="264"/>
      <c r="AR26" s="264"/>
      <c r="AS26" s="264"/>
      <c r="AT26" s="264"/>
      <c r="AU26" s="264"/>
      <c r="AV26" s="264"/>
      <c r="AW26" s="264"/>
      <c r="AX26" s="264"/>
      <c r="AY26" s="264"/>
      <c r="AZ26" s="264"/>
      <c r="BA26" s="264"/>
      <c r="BB26" s="264"/>
      <c r="BC26" s="264"/>
      <c r="BD26" s="264"/>
      <c r="BE26" s="264"/>
      <c r="BF26" s="264"/>
      <c r="BG26" s="264"/>
      <c r="BH26" s="264"/>
      <c r="BI26" s="264"/>
      <c r="BJ26" s="264"/>
      <c r="BK26" s="264"/>
      <c r="BL26" s="264"/>
      <c r="BM26" s="264"/>
      <c r="BN26" s="264"/>
      <c r="BO26" s="264"/>
      <c r="BP26" s="264"/>
      <c r="BQ26" s="264"/>
      <c r="BR26" s="264"/>
      <c r="BS26" s="264"/>
      <c r="BT26" s="264"/>
    </row>
    <row r="27" spans="1:72" x14ac:dyDescent="0.25">
      <c r="A27" s="255">
        <f t="shared" si="0"/>
        <v>17</v>
      </c>
      <c r="B27" s="266" t="s">
        <v>699</v>
      </c>
      <c r="C27" s="266" t="s">
        <v>617</v>
      </c>
      <c r="D27" s="267" t="s">
        <v>700</v>
      </c>
      <c r="E27" s="264">
        <v>0</v>
      </c>
      <c r="F27" s="264">
        <v>4094424</v>
      </c>
      <c r="G27" s="264"/>
      <c r="H27" s="264"/>
      <c r="I27" s="264">
        <f>SUM(F27:H27)</f>
        <v>4094424</v>
      </c>
      <c r="J27" s="264">
        <f>IF(C27="v",I27*$J$8,I27*$J$6)</f>
        <v>3913502.79561463</v>
      </c>
      <c r="K27" s="265"/>
      <c r="L27" s="264"/>
      <c r="M27" s="264"/>
      <c r="N27" s="264"/>
      <c r="O27" s="264"/>
      <c r="P27" s="264"/>
      <c r="Q27" s="264"/>
      <c r="R27" s="264"/>
      <c r="S27" s="264"/>
      <c r="T27" s="264"/>
      <c r="U27" s="264"/>
      <c r="V27" s="264"/>
      <c r="W27" s="264"/>
      <c r="X27" s="264"/>
      <c r="Y27" s="264"/>
      <c r="Z27" s="264"/>
      <c r="AA27" s="264"/>
      <c r="AB27" s="264"/>
      <c r="AC27" s="264"/>
      <c r="AD27" s="264"/>
      <c r="AE27" s="264"/>
      <c r="AF27" s="264"/>
      <c r="AG27" s="264"/>
      <c r="AH27" s="264"/>
      <c r="AI27" s="264"/>
      <c r="AJ27" s="264"/>
      <c r="AK27" s="264"/>
      <c r="AL27" s="264"/>
      <c r="AM27" s="264"/>
      <c r="AN27" s="264"/>
      <c r="AO27" s="264"/>
      <c r="AP27" s="264"/>
      <c r="AQ27" s="264"/>
      <c r="AR27" s="264"/>
      <c r="AS27" s="264"/>
      <c r="AT27" s="264"/>
      <c r="AU27" s="264"/>
      <c r="AV27" s="264"/>
      <c r="AW27" s="264"/>
      <c r="AX27" s="264"/>
      <c r="AY27" s="264"/>
      <c r="AZ27" s="264"/>
      <c r="BA27" s="264"/>
      <c r="BB27" s="264"/>
      <c r="BC27" s="264"/>
      <c r="BD27" s="264"/>
      <c r="BE27" s="264"/>
      <c r="BF27" s="264"/>
      <c r="BG27" s="264"/>
      <c r="BH27" s="264"/>
      <c r="BI27" s="264"/>
      <c r="BJ27" s="264"/>
      <c r="BK27" s="264"/>
      <c r="BL27" s="264"/>
      <c r="BM27" s="264"/>
      <c r="BN27" s="264"/>
      <c r="BO27" s="264"/>
      <c r="BP27" s="264"/>
      <c r="BQ27" s="264"/>
      <c r="BR27" s="264"/>
      <c r="BS27" s="264"/>
      <c r="BT27" s="264"/>
    </row>
    <row r="28" spans="1:72" ht="13.8" thickBot="1" x14ac:dyDescent="0.3">
      <c r="A28" s="255">
        <f t="shared" si="0"/>
        <v>18</v>
      </c>
      <c r="B28" s="266"/>
      <c r="C28" s="266"/>
      <c r="D28" s="267" t="s">
        <v>97</v>
      </c>
      <c r="E28" s="271">
        <f t="shared" ref="E28:J28" si="4">SUM(E21:E27)</f>
        <v>817470591.42446136</v>
      </c>
      <c r="F28" s="271">
        <f t="shared" si="4"/>
        <v>883666805.21993494</v>
      </c>
      <c r="G28" s="271">
        <f t="shared" si="4"/>
        <v>-7975220.9299999997</v>
      </c>
      <c r="H28" s="271">
        <f t="shared" si="4"/>
        <v>-1942577.9200000002</v>
      </c>
      <c r="I28" s="271">
        <f t="shared" si="4"/>
        <v>873749006.3699348</v>
      </c>
      <c r="J28" s="271">
        <f t="shared" si="4"/>
        <v>839939424.34033453</v>
      </c>
      <c r="K28" s="265"/>
      <c r="L28" s="264"/>
      <c r="M28" s="264"/>
      <c r="N28" s="264"/>
      <c r="O28" s="264"/>
      <c r="P28" s="264"/>
      <c r="Q28" s="264"/>
      <c r="R28" s="264"/>
      <c r="S28" s="264"/>
      <c r="T28" s="264"/>
      <c r="U28" s="264"/>
      <c r="V28" s="264"/>
      <c r="W28" s="264"/>
      <c r="X28" s="264"/>
      <c r="Y28" s="264"/>
      <c r="Z28" s="264"/>
      <c r="AA28" s="264"/>
      <c r="AB28" s="264"/>
      <c r="AC28" s="264"/>
      <c r="AD28" s="264"/>
      <c r="AE28" s="264"/>
      <c r="AF28" s="264"/>
      <c r="AG28" s="264"/>
      <c r="AH28" s="264"/>
      <c r="AI28" s="264"/>
      <c r="AJ28" s="264"/>
      <c r="AK28" s="264"/>
      <c r="AL28" s="264"/>
      <c r="AM28" s="264"/>
      <c r="AN28" s="264"/>
      <c r="AO28" s="264"/>
      <c r="AP28" s="264"/>
      <c r="AQ28" s="264"/>
      <c r="AR28" s="264"/>
      <c r="AS28" s="264"/>
      <c r="AT28" s="264"/>
      <c r="AU28" s="264"/>
      <c r="AV28" s="264"/>
      <c r="AW28" s="264"/>
      <c r="AX28" s="264"/>
      <c r="AY28" s="264"/>
      <c r="AZ28" s="264"/>
      <c r="BA28" s="264"/>
      <c r="BB28" s="264"/>
      <c r="BC28" s="264"/>
      <c r="BD28" s="264"/>
      <c r="BE28" s="264"/>
      <c r="BF28" s="264"/>
      <c r="BG28" s="264"/>
      <c r="BH28" s="264"/>
      <c r="BI28" s="264"/>
      <c r="BJ28" s="264"/>
      <c r="BK28" s="264"/>
      <c r="BL28" s="264"/>
      <c r="BM28" s="264"/>
      <c r="BN28" s="264"/>
      <c r="BO28" s="264"/>
      <c r="BP28" s="264"/>
      <c r="BQ28" s="264"/>
      <c r="BR28" s="264"/>
      <c r="BS28" s="264"/>
      <c r="BT28" s="264"/>
    </row>
    <row r="29" spans="1:72" ht="13.8" thickTop="1" x14ac:dyDescent="0.25">
      <c r="B29" s="266"/>
      <c r="C29" s="266"/>
      <c r="E29" s="265"/>
      <c r="F29" s="265"/>
      <c r="G29" s="265"/>
      <c r="H29" s="265"/>
      <c r="I29" s="265"/>
      <c r="J29" s="265"/>
      <c r="K29" s="265"/>
      <c r="L29" s="264"/>
      <c r="M29" s="264"/>
      <c r="N29" s="264"/>
      <c r="O29" s="264"/>
      <c r="P29" s="264"/>
      <c r="Q29" s="264"/>
      <c r="R29" s="264"/>
      <c r="S29" s="264"/>
      <c r="T29" s="264"/>
      <c r="U29" s="264"/>
      <c r="V29" s="264"/>
      <c r="W29" s="264"/>
      <c r="X29" s="264"/>
      <c r="Y29" s="264"/>
      <c r="Z29" s="264"/>
      <c r="AA29" s="264"/>
      <c r="AB29" s="264"/>
      <c r="AC29" s="264"/>
      <c r="AD29" s="264"/>
      <c r="AE29" s="264"/>
      <c r="AF29" s="264"/>
      <c r="AG29" s="264"/>
      <c r="AH29" s="264"/>
      <c r="AI29" s="264"/>
      <c r="AJ29" s="264"/>
      <c r="AK29" s="264"/>
      <c r="AL29" s="264"/>
      <c r="AM29" s="264"/>
      <c r="AN29" s="264"/>
      <c r="AO29" s="264"/>
      <c r="AP29" s="264"/>
      <c r="AQ29" s="264"/>
      <c r="AR29" s="264"/>
      <c r="AS29" s="264"/>
      <c r="AT29" s="264"/>
      <c r="AU29" s="264"/>
      <c r="AV29" s="264"/>
      <c r="AW29" s="264"/>
      <c r="AX29" s="264"/>
      <c r="AY29" s="264"/>
      <c r="AZ29" s="264"/>
      <c r="BA29" s="264"/>
      <c r="BB29" s="264"/>
      <c r="BC29" s="264"/>
      <c r="BD29" s="264"/>
      <c r="BE29" s="264"/>
      <c r="BF29" s="264"/>
      <c r="BG29" s="264"/>
      <c r="BH29" s="264"/>
      <c r="BI29" s="264"/>
      <c r="BJ29" s="264"/>
      <c r="BK29" s="264"/>
      <c r="BL29" s="264"/>
      <c r="BM29" s="264"/>
      <c r="BN29" s="264"/>
      <c r="BO29" s="264"/>
      <c r="BP29" s="264"/>
      <c r="BQ29" s="264"/>
      <c r="BR29" s="264"/>
      <c r="BS29" s="264"/>
      <c r="BT29" s="264"/>
    </row>
    <row r="30" spans="1:72" x14ac:dyDescent="0.25">
      <c r="B30" s="266"/>
      <c r="C30" s="266"/>
      <c r="E30" s="264"/>
      <c r="F30" s="264"/>
      <c r="G30" s="264"/>
      <c r="H30" s="264"/>
      <c r="I30" s="264"/>
      <c r="J30" s="264"/>
      <c r="K30" s="265"/>
      <c r="L30" s="264"/>
      <c r="M30" s="264"/>
      <c r="N30" s="264"/>
      <c r="O30" s="264"/>
      <c r="P30" s="264"/>
      <c r="Q30" s="264"/>
      <c r="R30" s="264"/>
      <c r="S30" s="264"/>
      <c r="T30" s="264"/>
      <c r="U30" s="264"/>
      <c r="V30" s="264"/>
      <c r="W30" s="264"/>
      <c r="X30" s="264"/>
      <c r="Y30" s="264"/>
      <c r="Z30" s="264"/>
      <c r="AA30" s="264"/>
      <c r="AB30" s="264"/>
      <c r="AC30" s="264"/>
      <c r="AD30" s="264"/>
      <c r="AE30" s="264"/>
      <c r="AF30" s="264"/>
      <c r="AG30" s="264"/>
      <c r="AH30" s="264"/>
      <c r="AI30" s="264"/>
      <c r="AJ30" s="264"/>
      <c r="AK30" s="264"/>
      <c r="AL30" s="264"/>
      <c r="AM30" s="264"/>
      <c r="AN30" s="264"/>
      <c r="AO30" s="264"/>
      <c r="AP30" s="264"/>
      <c r="AQ30" s="264"/>
      <c r="AR30" s="264"/>
      <c r="AS30" s="264"/>
      <c r="AT30" s="264"/>
      <c r="AU30" s="264"/>
      <c r="AV30" s="264"/>
      <c r="AW30" s="264"/>
      <c r="AX30" s="264"/>
      <c r="AY30" s="264"/>
      <c r="AZ30" s="264"/>
      <c r="BA30" s="264"/>
      <c r="BB30" s="264"/>
      <c r="BC30" s="264"/>
      <c r="BD30" s="264"/>
      <c r="BE30" s="264"/>
      <c r="BF30" s="264"/>
      <c r="BG30" s="264"/>
      <c r="BH30" s="264"/>
      <c r="BI30" s="264"/>
      <c r="BJ30" s="264"/>
      <c r="BK30" s="264"/>
      <c r="BL30" s="264"/>
      <c r="BM30" s="264"/>
      <c r="BN30" s="264"/>
      <c r="BO30" s="264"/>
      <c r="BP30" s="264"/>
      <c r="BQ30" s="264"/>
      <c r="BR30" s="264"/>
      <c r="BS30" s="264"/>
      <c r="BT30" s="264"/>
    </row>
    <row r="31" spans="1:72" x14ac:dyDescent="0.25">
      <c r="A31" s="265"/>
      <c r="B31" s="265"/>
      <c r="C31" s="265"/>
      <c r="D31" s="265"/>
      <c r="E31" s="265"/>
      <c r="F31" s="265"/>
      <c r="G31" s="265"/>
      <c r="H31" s="265"/>
      <c r="I31" s="265"/>
      <c r="J31" s="265"/>
      <c r="K31" s="265"/>
      <c r="L31" s="264"/>
      <c r="M31" s="264"/>
      <c r="N31" s="264"/>
      <c r="O31" s="264"/>
      <c r="P31" s="264"/>
      <c r="Q31" s="264"/>
      <c r="R31" s="264"/>
      <c r="S31" s="264"/>
      <c r="T31" s="264"/>
      <c r="U31" s="264"/>
      <c r="V31" s="264"/>
      <c r="W31" s="264"/>
      <c r="X31" s="264"/>
      <c r="Y31" s="264"/>
      <c r="Z31" s="264"/>
      <c r="AA31" s="264"/>
      <c r="AB31" s="264"/>
      <c r="AC31" s="264"/>
      <c r="AD31" s="264"/>
      <c r="AE31" s="264"/>
      <c r="AF31" s="264"/>
      <c r="AG31" s="264"/>
      <c r="AH31" s="264"/>
      <c r="AI31" s="264"/>
      <c r="AJ31" s="264"/>
      <c r="AK31" s="264"/>
      <c r="AL31" s="264"/>
      <c r="AM31" s="264"/>
      <c r="AN31" s="264"/>
      <c r="AO31" s="264"/>
      <c r="AP31" s="264"/>
      <c r="AQ31" s="264"/>
      <c r="AR31" s="264"/>
      <c r="AS31" s="264"/>
      <c r="AT31" s="264"/>
      <c r="AU31" s="264"/>
      <c r="AV31" s="264"/>
      <c r="AW31" s="264"/>
      <c r="AX31" s="264"/>
      <c r="AY31" s="264"/>
      <c r="AZ31" s="264"/>
      <c r="BA31" s="264"/>
      <c r="BB31" s="264"/>
      <c r="BC31" s="264"/>
      <c r="BD31" s="264"/>
      <c r="BE31" s="264"/>
      <c r="BF31" s="264"/>
      <c r="BG31" s="264"/>
      <c r="BH31" s="264"/>
      <c r="BI31" s="264"/>
      <c r="BJ31" s="264"/>
      <c r="BK31" s="264"/>
      <c r="BL31" s="264"/>
      <c r="BM31" s="264"/>
      <c r="BN31" s="264"/>
      <c r="BO31" s="264"/>
      <c r="BP31" s="264"/>
      <c r="BQ31" s="264"/>
      <c r="BR31" s="264"/>
      <c r="BS31" s="264"/>
      <c r="BT31" s="264"/>
    </row>
    <row r="32" spans="1:72" x14ac:dyDescent="0.25">
      <c r="A32" s="265"/>
      <c r="B32" s="265"/>
      <c r="C32" s="265"/>
      <c r="D32" s="265"/>
      <c r="E32" s="265"/>
      <c r="F32" s="265"/>
      <c r="G32" s="265"/>
      <c r="H32" s="265"/>
      <c r="I32" s="265"/>
      <c r="J32" s="265"/>
      <c r="K32" s="265"/>
      <c r="L32" s="264"/>
      <c r="M32" s="264"/>
      <c r="N32" s="264"/>
      <c r="O32" s="264"/>
      <c r="P32" s="264"/>
      <c r="Q32" s="264"/>
      <c r="R32" s="264"/>
      <c r="S32" s="264"/>
      <c r="T32" s="264"/>
      <c r="U32" s="264"/>
      <c r="V32" s="264"/>
      <c r="W32" s="264"/>
      <c r="X32" s="264"/>
      <c r="Y32" s="264"/>
      <c r="Z32" s="264"/>
      <c r="AA32" s="264"/>
      <c r="AB32" s="264"/>
      <c r="AC32" s="264"/>
      <c r="AD32" s="264"/>
      <c r="AE32" s="264"/>
      <c r="AF32" s="264"/>
      <c r="AG32" s="264"/>
      <c r="AH32" s="264"/>
      <c r="AI32" s="264"/>
      <c r="AJ32" s="264"/>
      <c r="AK32" s="264"/>
      <c r="AL32" s="264"/>
      <c r="AM32" s="264"/>
      <c r="AN32" s="264"/>
      <c r="AO32" s="264"/>
      <c r="AP32" s="264"/>
      <c r="AQ32" s="264"/>
      <c r="AR32" s="264"/>
      <c r="AS32" s="264"/>
      <c r="AT32" s="264"/>
      <c r="AU32" s="264"/>
      <c r="AV32" s="264"/>
      <c r="AW32" s="264"/>
      <c r="AX32" s="264"/>
      <c r="AY32" s="264"/>
      <c r="AZ32" s="264"/>
      <c r="BA32" s="264"/>
      <c r="BB32" s="264"/>
      <c r="BC32" s="264"/>
      <c r="BD32" s="264"/>
      <c r="BE32" s="264"/>
      <c r="BF32" s="264"/>
      <c r="BG32" s="264"/>
      <c r="BH32" s="264"/>
      <c r="BI32" s="264"/>
      <c r="BJ32" s="264"/>
      <c r="BK32" s="264"/>
      <c r="BL32" s="264"/>
      <c r="BM32" s="264"/>
      <c r="BN32" s="264"/>
      <c r="BO32" s="264"/>
      <c r="BP32" s="264"/>
      <c r="BQ32" s="264"/>
      <c r="BR32" s="264"/>
      <c r="BS32" s="264"/>
      <c r="BT32" s="264"/>
    </row>
    <row r="33" spans="1:72" x14ac:dyDescent="0.25">
      <c r="A33" s="265"/>
      <c r="B33" s="265"/>
      <c r="C33" s="265"/>
      <c r="D33" s="265"/>
      <c r="E33" s="265"/>
      <c r="F33" s="265"/>
      <c r="G33" s="265"/>
      <c r="H33" s="265"/>
      <c r="I33" s="265"/>
      <c r="J33" s="265"/>
      <c r="K33" s="265"/>
      <c r="L33" s="264"/>
      <c r="M33" s="264"/>
      <c r="N33" s="264"/>
      <c r="O33" s="264"/>
      <c r="P33" s="264"/>
      <c r="Q33" s="264"/>
      <c r="R33" s="264"/>
      <c r="S33" s="264"/>
      <c r="T33" s="264"/>
      <c r="U33" s="264"/>
      <c r="V33" s="264"/>
      <c r="W33" s="264"/>
      <c r="X33" s="264"/>
      <c r="Y33" s="264"/>
      <c r="Z33" s="264"/>
      <c r="AA33" s="264"/>
      <c r="AB33" s="264"/>
      <c r="AC33" s="264"/>
      <c r="AD33" s="264"/>
      <c r="AE33" s="264"/>
      <c r="AF33" s="264"/>
      <c r="AG33" s="264"/>
      <c r="AH33" s="264"/>
      <c r="AI33" s="264"/>
      <c r="AJ33" s="264"/>
      <c r="AK33" s="264"/>
      <c r="AL33" s="264"/>
      <c r="AM33" s="264"/>
      <c r="AN33" s="264"/>
      <c r="AO33" s="264"/>
      <c r="AP33" s="264"/>
      <c r="AQ33" s="264"/>
      <c r="AR33" s="264"/>
      <c r="AS33" s="264"/>
      <c r="AT33" s="264"/>
      <c r="AU33" s="264"/>
      <c r="AV33" s="264"/>
      <c r="AW33" s="264"/>
      <c r="AX33" s="264"/>
      <c r="AY33" s="264"/>
      <c r="AZ33" s="264"/>
      <c r="BA33" s="264"/>
      <c r="BB33" s="264"/>
      <c r="BC33" s="264"/>
      <c r="BD33" s="264"/>
      <c r="BE33" s="264"/>
      <c r="BF33" s="264"/>
      <c r="BG33" s="264"/>
      <c r="BH33" s="264"/>
      <c r="BI33" s="264"/>
      <c r="BJ33" s="264"/>
      <c r="BK33" s="264"/>
      <c r="BL33" s="264"/>
      <c r="BM33" s="264"/>
      <c r="BN33" s="264"/>
      <c r="BO33" s="264"/>
      <c r="BP33" s="264"/>
      <c r="BQ33" s="264"/>
      <c r="BR33" s="264"/>
      <c r="BS33" s="264"/>
      <c r="BT33" s="264"/>
    </row>
    <row r="34" spans="1:72" x14ac:dyDescent="0.25">
      <c r="A34" s="265"/>
      <c r="B34" s="265"/>
      <c r="C34" s="265"/>
      <c r="D34" s="265"/>
      <c r="E34" s="265"/>
      <c r="F34" s="265"/>
      <c r="G34" s="265"/>
      <c r="H34" s="265"/>
      <c r="I34" s="265"/>
      <c r="J34" s="265"/>
      <c r="K34" s="265"/>
      <c r="L34" s="264"/>
      <c r="M34" s="264"/>
      <c r="N34" s="264"/>
      <c r="O34" s="264"/>
      <c r="P34" s="264"/>
      <c r="Q34" s="264"/>
      <c r="R34" s="264"/>
      <c r="S34" s="264"/>
      <c r="T34" s="264"/>
      <c r="U34" s="264"/>
      <c r="V34" s="264"/>
      <c r="W34" s="264"/>
      <c r="X34" s="264"/>
      <c r="Y34" s="264"/>
      <c r="Z34" s="264"/>
      <c r="AA34" s="264"/>
      <c r="AB34" s="264"/>
      <c r="AC34" s="264"/>
      <c r="AD34" s="264"/>
      <c r="AE34" s="264"/>
      <c r="AF34" s="264"/>
      <c r="AG34" s="264"/>
      <c r="AH34" s="264"/>
      <c r="AI34" s="264"/>
      <c r="AJ34" s="264"/>
      <c r="AK34" s="264"/>
      <c r="AL34" s="264"/>
      <c r="AM34" s="264"/>
      <c r="AN34" s="264"/>
      <c r="AO34" s="264"/>
      <c r="AP34" s="264"/>
      <c r="AQ34" s="264"/>
      <c r="AR34" s="264"/>
      <c r="AS34" s="264"/>
      <c r="AT34" s="264"/>
      <c r="AU34" s="264"/>
      <c r="AV34" s="264"/>
      <c r="AW34" s="264"/>
      <c r="AX34" s="264"/>
      <c r="AY34" s="264"/>
      <c r="AZ34" s="264"/>
      <c r="BA34" s="264"/>
      <c r="BB34" s="264"/>
      <c r="BC34" s="264"/>
      <c r="BD34" s="264"/>
      <c r="BE34" s="264"/>
      <c r="BF34" s="264"/>
      <c r="BG34" s="264"/>
      <c r="BH34" s="264"/>
      <c r="BI34" s="264"/>
      <c r="BJ34" s="264"/>
      <c r="BK34" s="264"/>
      <c r="BL34" s="264"/>
      <c r="BM34" s="264"/>
      <c r="BN34" s="264"/>
      <c r="BO34" s="264"/>
      <c r="BP34" s="264"/>
      <c r="BQ34" s="264"/>
      <c r="BR34" s="264"/>
      <c r="BS34" s="264"/>
      <c r="BT34" s="264"/>
    </row>
    <row r="35" spans="1:72" x14ac:dyDescent="0.25">
      <c r="A35" s="265"/>
      <c r="B35" s="265"/>
      <c r="C35" s="265"/>
      <c r="D35" s="265"/>
      <c r="E35" s="265"/>
      <c r="F35" s="265"/>
      <c r="G35" s="265"/>
      <c r="H35" s="265"/>
      <c r="I35" s="265"/>
      <c r="J35" s="265"/>
      <c r="K35" s="265"/>
      <c r="L35" s="264"/>
      <c r="M35" s="264"/>
      <c r="N35" s="264"/>
      <c r="O35" s="264"/>
      <c r="P35" s="264"/>
      <c r="Q35" s="264"/>
      <c r="R35" s="264"/>
      <c r="S35" s="264"/>
      <c r="T35" s="264"/>
      <c r="U35" s="264"/>
      <c r="V35" s="264"/>
      <c r="W35" s="264"/>
      <c r="X35" s="264"/>
      <c r="Y35" s="264"/>
      <c r="Z35" s="264"/>
      <c r="AA35" s="264"/>
      <c r="AB35" s="264"/>
      <c r="AC35" s="264"/>
      <c r="AD35" s="264"/>
      <c r="AE35" s="264"/>
      <c r="AF35" s="264"/>
      <c r="AG35" s="264"/>
      <c r="AH35" s="264"/>
      <c r="AI35" s="264"/>
      <c r="AJ35" s="264"/>
      <c r="AK35" s="264"/>
      <c r="AL35" s="264"/>
      <c r="AM35" s="264"/>
      <c r="AN35" s="264"/>
      <c r="AO35" s="264"/>
      <c r="AP35" s="264"/>
      <c r="AQ35" s="264"/>
      <c r="AR35" s="264"/>
      <c r="AS35" s="264"/>
      <c r="AT35" s="264"/>
      <c r="AU35" s="264"/>
      <c r="AV35" s="264"/>
      <c r="AW35" s="264"/>
      <c r="AX35" s="264"/>
      <c r="AY35" s="264"/>
      <c r="AZ35" s="264"/>
      <c r="BA35" s="264"/>
      <c r="BB35" s="264"/>
      <c r="BC35" s="264"/>
      <c r="BD35" s="264"/>
      <c r="BE35" s="264"/>
      <c r="BF35" s="264"/>
      <c r="BG35" s="264"/>
      <c r="BH35" s="264"/>
      <c r="BI35" s="264"/>
      <c r="BJ35" s="264"/>
      <c r="BK35" s="264"/>
      <c r="BL35" s="264"/>
      <c r="BM35" s="264"/>
      <c r="BN35" s="264"/>
      <c r="BO35" s="264"/>
      <c r="BP35" s="264"/>
      <c r="BQ35" s="264"/>
      <c r="BR35" s="264"/>
      <c r="BS35" s="264"/>
      <c r="BT35" s="264"/>
    </row>
    <row r="36" spans="1:72" x14ac:dyDescent="0.25">
      <c r="A36" s="265"/>
      <c r="B36" s="265"/>
      <c r="C36" s="265"/>
      <c r="D36" s="265"/>
      <c r="E36" s="265"/>
      <c r="F36" s="265"/>
      <c r="G36" s="265"/>
      <c r="H36" s="265"/>
      <c r="I36" s="265"/>
      <c r="J36" s="265"/>
      <c r="K36" s="264"/>
      <c r="L36" s="264"/>
      <c r="M36" s="264"/>
      <c r="N36" s="264"/>
      <c r="O36" s="264"/>
      <c r="P36" s="264"/>
      <c r="Q36" s="264"/>
      <c r="R36" s="264"/>
      <c r="S36" s="264"/>
      <c r="T36" s="264"/>
      <c r="U36" s="264"/>
      <c r="V36" s="264"/>
      <c r="W36" s="264"/>
      <c r="X36" s="264"/>
      <c r="Y36" s="264"/>
      <c r="Z36" s="264"/>
      <c r="AA36" s="264"/>
      <c r="AB36" s="264"/>
      <c r="AC36" s="264"/>
      <c r="AD36" s="264"/>
      <c r="AE36" s="264"/>
      <c r="AF36" s="264"/>
      <c r="AG36" s="264"/>
      <c r="AH36" s="264"/>
      <c r="AI36" s="264"/>
      <c r="AJ36" s="264"/>
      <c r="AK36" s="264"/>
      <c r="AL36" s="264"/>
      <c r="AM36" s="264"/>
      <c r="AN36" s="264"/>
      <c r="AO36" s="264"/>
      <c r="AP36" s="264"/>
      <c r="AQ36" s="264"/>
      <c r="AR36" s="264"/>
      <c r="AS36" s="264"/>
      <c r="AT36" s="264"/>
      <c r="AU36" s="264"/>
      <c r="AV36" s="264"/>
      <c r="AW36" s="264"/>
      <c r="AX36" s="264"/>
      <c r="AY36" s="264"/>
      <c r="AZ36" s="264"/>
      <c r="BA36" s="264"/>
      <c r="BB36" s="264"/>
      <c r="BC36" s="264"/>
      <c r="BD36" s="264"/>
      <c r="BE36" s="264"/>
      <c r="BF36" s="264"/>
      <c r="BG36" s="264"/>
      <c r="BH36" s="264"/>
      <c r="BI36" s="264"/>
      <c r="BJ36" s="264"/>
      <c r="BK36" s="264"/>
      <c r="BL36" s="264"/>
      <c r="BM36" s="264"/>
      <c r="BN36" s="264"/>
      <c r="BO36" s="264"/>
      <c r="BP36" s="264"/>
      <c r="BQ36" s="264"/>
      <c r="BR36" s="264"/>
      <c r="BS36" s="264"/>
      <c r="BT36" s="264"/>
    </row>
    <row r="37" spans="1:72" x14ac:dyDescent="0.25">
      <c r="A37" s="265"/>
      <c r="B37" s="265"/>
      <c r="C37" s="265"/>
      <c r="D37" s="265"/>
      <c r="E37" s="265"/>
      <c r="F37" s="265"/>
      <c r="G37" s="265"/>
      <c r="H37" s="265"/>
      <c r="I37" s="265"/>
      <c r="J37" s="265"/>
      <c r="K37" s="264"/>
      <c r="L37" s="264"/>
      <c r="M37" s="264"/>
      <c r="N37" s="264"/>
      <c r="O37" s="264"/>
      <c r="P37" s="264"/>
      <c r="Q37" s="264"/>
      <c r="R37" s="264"/>
      <c r="S37" s="264"/>
      <c r="T37" s="264"/>
      <c r="U37" s="264"/>
      <c r="V37" s="264"/>
      <c r="W37" s="264"/>
      <c r="X37" s="264"/>
      <c r="Y37" s="264"/>
      <c r="Z37" s="264"/>
      <c r="AA37" s="264"/>
      <c r="AB37" s="264"/>
      <c r="AC37" s="264"/>
      <c r="AD37" s="264"/>
      <c r="AE37" s="264"/>
      <c r="AF37" s="264"/>
      <c r="AG37" s="264"/>
      <c r="AH37" s="264"/>
      <c r="AI37" s="264"/>
      <c r="AJ37" s="264"/>
      <c r="AK37" s="264"/>
      <c r="AL37" s="264"/>
      <c r="AM37" s="264"/>
      <c r="AN37" s="264"/>
      <c r="AO37" s="264"/>
      <c r="AP37" s="264"/>
      <c r="AQ37" s="264"/>
      <c r="AR37" s="264"/>
      <c r="AS37" s="264"/>
      <c r="AT37" s="264"/>
      <c r="AU37" s="264"/>
      <c r="AV37" s="264"/>
      <c r="AW37" s="264"/>
      <c r="AX37" s="264"/>
      <c r="AY37" s="264"/>
      <c r="AZ37" s="264"/>
      <c r="BA37" s="264"/>
      <c r="BB37" s="264"/>
      <c r="BC37" s="264"/>
      <c r="BD37" s="264"/>
      <c r="BE37" s="264"/>
      <c r="BF37" s="264"/>
      <c r="BG37" s="264"/>
      <c r="BH37" s="264"/>
      <c r="BI37" s="264"/>
      <c r="BJ37" s="264"/>
      <c r="BK37" s="264"/>
      <c r="BL37" s="264"/>
      <c r="BM37" s="264"/>
      <c r="BN37" s="264"/>
      <c r="BO37" s="264"/>
      <c r="BP37" s="264"/>
      <c r="BQ37" s="264"/>
      <c r="BR37" s="264"/>
      <c r="BS37" s="264"/>
      <c r="BT37" s="264"/>
    </row>
    <row r="38" spans="1:72" x14ac:dyDescent="0.25">
      <c r="A38" s="265"/>
      <c r="B38" s="265"/>
      <c r="C38" s="265"/>
      <c r="D38" s="265"/>
      <c r="E38" s="265"/>
      <c r="F38" s="265"/>
      <c r="G38" s="265"/>
      <c r="H38" s="265"/>
      <c r="I38" s="265"/>
      <c r="J38" s="265"/>
      <c r="K38" s="264"/>
      <c r="L38" s="264"/>
      <c r="M38" s="264"/>
      <c r="N38" s="264"/>
      <c r="O38" s="264"/>
      <c r="P38" s="264"/>
      <c r="Q38" s="264"/>
      <c r="R38" s="264"/>
      <c r="S38" s="264"/>
      <c r="T38" s="264"/>
      <c r="U38" s="264"/>
      <c r="V38" s="264"/>
      <c r="W38" s="264"/>
      <c r="X38" s="264"/>
      <c r="Y38" s="264"/>
      <c r="Z38" s="264"/>
      <c r="AA38" s="264"/>
      <c r="AB38" s="264"/>
      <c r="AC38" s="264"/>
      <c r="AD38" s="264"/>
      <c r="AE38" s="264"/>
      <c r="AF38" s="264"/>
      <c r="AG38" s="264"/>
      <c r="AH38" s="264"/>
      <c r="AI38" s="264"/>
      <c r="AJ38" s="264"/>
      <c r="AK38" s="264"/>
      <c r="AL38" s="264"/>
      <c r="AM38" s="264"/>
      <c r="AN38" s="264"/>
      <c r="AO38" s="264"/>
      <c r="AP38" s="264"/>
      <c r="AQ38" s="264"/>
      <c r="AR38" s="264"/>
      <c r="AS38" s="264"/>
      <c r="AT38" s="264"/>
      <c r="AU38" s="264"/>
      <c r="AV38" s="264"/>
      <c r="AW38" s="264"/>
      <c r="AX38" s="264"/>
      <c r="AY38" s="264"/>
      <c r="AZ38" s="264"/>
      <c r="BA38" s="264"/>
      <c r="BB38" s="264"/>
      <c r="BC38" s="264"/>
      <c r="BD38" s="264"/>
      <c r="BE38" s="264"/>
      <c r="BF38" s="264"/>
      <c r="BG38" s="264"/>
      <c r="BH38" s="264"/>
      <c r="BI38" s="264"/>
      <c r="BJ38" s="264"/>
      <c r="BK38" s="264"/>
      <c r="BL38" s="264"/>
      <c r="BM38" s="264"/>
      <c r="BN38" s="264"/>
      <c r="BO38" s="264"/>
      <c r="BP38" s="264"/>
      <c r="BQ38" s="264"/>
      <c r="BR38" s="264"/>
      <c r="BS38" s="264"/>
      <c r="BT38" s="264"/>
    </row>
    <row r="39" spans="1:72" x14ac:dyDescent="0.25">
      <c r="A39" s="265"/>
      <c r="B39" s="265"/>
      <c r="C39" s="265"/>
      <c r="D39" s="265"/>
      <c r="E39" s="265"/>
      <c r="F39" s="265"/>
      <c r="G39" s="265"/>
      <c r="H39" s="265"/>
      <c r="I39" s="265"/>
      <c r="J39" s="265"/>
      <c r="K39" s="264"/>
      <c r="L39" s="264"/>
      <c r="M39" s="264"/>
      <c r="N39" s="264"/>
      <c r="O39" s="264"/>
      <c r="P39" s="264"/>
      <c r="Q39" s="264"/>
      <c r="R39" s="264"/>
      <c r="S39" s="264"/>
      <c r="T39" s="264"/>
      <c r="U39" s="264"/>
      <c r="V39" s="264"/>
      <c r="W39" s="264"/>
      <c r="X39" s="264"/>
      <c r="Y39" s="264"/>
      <c r="Z39" s="264"/>
      <c r="AA39" s="264"/>
      <c r="AB39" s="264"/>
      <c r="AC39" s="264"/>
      <c r="AD39" s="264"/>
      <c r="AE39" s="264"/>
      <c r="AF39" s="264"/>
      <c r="AG39" s="264"/>
      <c r="AH39" s="264"/>
      <c r="AI39" s="264"/>
      <c r="AJ39" s="264"/>
      <c r="AK39" s="264"/>
      <c r="AL39" s="264"/>
      <c r="AM39" s="264"/>
      <c r="AN39" s="264"/>
      <c r="AO39" s="264"/>
      <c r="AP39" s="264"/>
      <c r="AQ39" s="264"/>
      <c r="AR39" s="264"/>
      <c r="AS39" s="264"/>
      <c r="AT39" s="264"/>
      <c r="AU39" s="264"/>
      <c r="AV39" s="264"/>
      <c r="AW39" s="264"/>
      <c r="AX39" s="264"/>
      <c r="AY39" s="264"/>
      <c r="AZ39" s="264"/>
      <c r="BA39" s="264"/>
      <c r="BB39" s="264"/>
      <c r="BC39" s="264"/>
      <c r="BD39" s="264"/>
      <c r="BE39" s="264"/>
      <c r="BF39" s="264"/>
      <c r="BG39" s="264"/>
      <c r="BH39" s="264"/>
      <c r="BI39" s="264"/>
      <c r="BJ39" s="264"/>
      <c r="BK39" s="264"/>
      <c r="BL39" s="264"/>
      <c r="BM39" s="264"/>
      <c r="BN39" s="264"/>
      <c r="BO39" s="264"/>
      <c r="BP39" s="264"/>
      <c r="BQ39" s="264"/>
      <c r="BR39" s="264"/>
      <c r="BS39" s="264"/>
      <c r="BT39" s="264"/>
    </row>
    <row r="40" spans="1:72" x14ac:dyDescent="0.25">
      <c r="A40" s="265"/>
      <c r="B40" s="265"/>
      <c r="C40" s="265"/>
      <c r="D40" s="265"/>
      <c r="E40" s="265"/>
      <c r="F40" s="265"/>
      <c r="G40" s="265"/>
      <c r="H40" s="265"/>
      <c r="I40" s="265"/>
      <c r="J40" s="265"/>
      <c r="K40" s="264"/>
      <c r="L40" s="264"/>
      <c r="M40" s="264"/>
      <c r="N40" s="264"/>
      <c r="O40" s="264"/>
      <c r="P40" s="264"/>
      <c r="Q40" s="264"/>
      <c r="R40" s="264"/>
      <c r="S40" s="264"/>
      <c r="T40" s="264"/>
      <c r="U40" s="264"/>
      <c r="V40" s="264"/>
      <c r="W40" s="264"/>
      <c r="X40" s="264"/>
      <c r="Y40" s="264"/>
      <c r="Z40" s="264"/>
      <c r="AA40" s="264"/>
      <c r="AB40" s="264"/>
      <c r="AC40" s="264"/>
      <c r="AD40" s="264"/>
      <c r="AE40" s="264"/>
      <c r="AF40" s="264"/>
      <c r="AG40" s="264"/>
      <c r="AH40" s="264"/>
      <c r="AI40" s="264"/>
      <c r="AJ40" s="264"/>
      <c r="AK40" s="264"/>
      <c r="AL40" s="264"/>
      <c r="AM40" s="264"/>
      <c r="AN40" s="264"/>
      <c r="AO40" s="264"/>
      <c r="AP40" s="264"/>
      <c r="AQ40" s="264"/>
      <c r="AR40" s="264"/>
      <c r="AS40" s="264"/>
      <c r="AT40" s="264"/>
      <c r="AU40" s="264"/>
      <c r="AV40" s="264"/>
      <c r="AW40" s="264"/>
      <c r="AX40" s="264"/>
      <c r="AY40" s="264"/>
      <c r="AZ40" s="264"/>
      <c r="BA40" s="264"/>
      <c r="BB40" s="264"/>
      <c r="BC40" s="264"/>
      <c r="BD40" s="264"/>
      <c r="BE40" s="264"/>
      <c r="BF40" s="264"/>
      <c r="BG40" s="264"/>
      <c r="BH40" s="264"/>
      <c r="BI40" s="264"/>
      <c r="BJ40" s="264"/>
      <c r="BK40" s="264"/>
      <c r="BL40" s="264"/>
      <c r="BM40" s="264"/>
      <c r="BN40" s="264"/>
      <c r="BO40" s="264"/>
      <c r="BP40" s="264"/>
      <c r="BQ40" s="264"/>
      <c r="BR40" s="264"/>
      <c r="BS40" s="264"/>
      <c r="BT40" s="264"/>
    </row>
    <row r="41" spans="1:72" x14ac:dyDescent="0.25">
      <c r="A41" s="265"/>
      <c r="B41" s="265"/>
      <c r="C41" s="265"/>
      <c r="D41" s="265"/>
      <c r="E41" s="265"/>
      <c r="F41" s="265"/>
      <c r="G41" s="265"/>
      <c r="H41" s="265"/>
      <c r="I41" s="265"/>
      <c r="J41" s="265"/>
      <c r="K41" s="264"/>
      <c r="L41" s="264"/>
      <c r="M41" s="264"/>
      <c r="N41" s="264"/>
      <c r="O41" s="264"/>
      <c r="P41" s="264"/>
      <c r="Q41" s="264"/>
      <c r="R41" s="264"/>
      <c r="S41" s="264"/>
      <c r="T41" s="264"/>
      <c r="U41" s="264"/>
      <c r="V41" s="264"/>
      <c r="W41" s="264"/>
      <c r="X41" s="264"/>
      <c r="Y41" s="264"/>
      <c r="Z41" s="264"/>
      <c r="AA41" s="264"/>
      <c r="AB41" s="264"/>
      <c r="AC41" s="264"/>
      <c r="AD41" s="264"/>
      <c r="AE41" s="264"/>
      <c r="AF41" s="264"/>
      <c r="AG41" s="264"/>
      <c r="AH41" s="264"/>
      <c r="AI41" s="264"/>
      <c r="AJ41" s="264"/>
      <c r="AK41" s="264"/>
      <c r="AL41" s="264"/>
      <c r="AM41" s="264"/>
      <c r="AN41" s="264"/>
      <c r="AO41" s="264"/>
      <c r="AP41" s="264"/>
      <c r="AQ41" s="264"/>
      <c r="AR41" s="264"/>
      <c r="AS41" s="264"/>
      <c r="AT41" s="264"/>
      <c r="AU41" s="264"/>
      <c r="AV41" s="264"/>
      <c r="AW41" s="264"/>
      <c r="AX41" s="264"/>
      <c r="AY41" s="264"/>
      <c r="AZ41" s="264"/>
      <c r="BA41" s="264"/>
      <c r="BB41" s="264"/>
      <c r="BC41" s="264"/>
      <c r="BD41" s="264"/>
      <c r="BE41" s="264"/>
      <c r="BF41" s="264"/>
      <c r="BG41" s="264"/>
      <c r="BH41" s="264"/>
      <c r="BI41" s="264"/>
      <c r="BJ41" s="264"/>
      <c r="BK41" s="264"/>
      <c r="BL41" s="264"/>
      <c r="BM41" s="264"/>
      <c r="BN41" s="264"/>
      <c r="BO41" s="264"/>
      <c r="BP41" s="264"/>
      <c r="BQ41" s="264"/>
      <c r="BR41" s="264"/>
      <c r="BS41" s="264"/>
      <c r="BT41" s="264"/>
    </row>
    <row r="42" spans="1:72" x14ac:dyDescent="0.25">
      <c r="A42" s="265"/>
      <c r="B42" s="265"/>
      <c r="C42" s="265"/>
      <c r="D42" s="265"/>
      <c r="E42" s="265"/>
      <c r="F42" s="265"/>
      <c r="G42" s="265"/>
      <c r="H42" s="265"/>
      <c r="I42" s="265"/>
      <c r="J42" s="265"/>
      <c r="K42" s="264"/>
      <c r="L42" s="264"/>
      <c r="M42" s="264"/>
      <c r="N42" s="264"/>
      <c r="O42" s="264"/>
      <c r="P42" s="264"/>
      <c r="Q42" s="264"/>
      <c r="R42" s="264"/>
      <c r="S42" s="264"/>
      <c r="T42" s="264"/>
      <c r="U42" s="264"/>
      <c r="V42" s="264"/>
      <c r="W42" s="264"/>
      <c r="X42" s="264"/>
      <c r="Y42" s="264"/>
      <c r="Z42" s="264"/>
      <c r="AA42" s="264"/>
      <c r="AB42" s="264"/>
      <c r="AC42" s="264"/>
      <c r="AD42" s="264"/>
      <c r="AE42" s="264"/>
      <c r="AF42" s="264"/>
      <c r="AG42" s="264"/>
      <c r="AH42" s="264"/>
      <c r="AI42" s="264"/>
      <c r="AJ42" s="264"/>
      <c r="AK42" s="264"/>
      <c r="AL42" s="264"/>
      <c r="AM42" s="264"/>
      <c r="AN42" s="264"/>
      <c r="AO42" s="264"/>
      <c r="AP42" s="264"/>
      <c r="AQ42" s="264"/>
      <c r="AR42" s="264"/>
      <c r="AS42" s="264"/>
      <c r="AT42" s="264"/>
      <c r="AU42" s="264"/>
      <c r="AV42" s="264"/>
      <c r="AW42" s="264"/>
      <c r="AX42" s="264"/>
      <c r="AY42" s="264"/>
      <c r="AZ42" s="264"/>
      <c r="BA42" s="264"/>
      <c r="BB42" s="264"/>
      <c r="BC42" s="264"/>
      <c r="BD42" s="264"/>
      <c r="BE42" s="264"/>
      <c r="BF42" s="264"/>
      <c r="BG42" s="264"/>
      <c r="BH42" s="264"/>
      <c r="BI42" s="264"/>
      <c r="BJ42" s="264"/>
      <c r="BK42" s="264"/>
      <c r="BL42" s="264"/>
      <c r="BM42" s="264"/>
      <c r="BN42" s="264"/>
      <c r="BO42" s="264"/>
      <c r="BP42" s="264"/>
      <c r="BQ42" s="264"/>
      <c r="BR42" s="264"/>
      <c r="BS42" s="264"/>
      <c r="BT42" s="264"/>
    </row>
    <row r="43" spans="1:72" x14ac:dyDescent="0.25">
      <c r="A43" s="265"/>
      <c r="B43" s="265"/>
      <c r="C43" s="265"/>
      <c r="D43" s="265"/>
      <c r="E43" s="265"/>
      <c r="F43" s="265"/>
      <c r="G43" s="265"/>
      <c r="H43" s="265"/>
      <c r="I43" s="265"/>
      <c r="J43" s="265"/>
      <c r="K43" s="264"/>
      <c r="L43" s="264"/>
      <c r="M43" s="264"/>
      <c r="N43" s="264"/>
      <c r="O43" s="264"/>
      <c r="P43" s="264"/>
      <c r="Q43" s="264"/>
      <c r="R43" s="264"/>
      <c r="S43" s="264"/>
      <c r="T43" s="264"/>
      <c r="U43" s="264"/>
      <c r="V43" s="264"/>
      <c r="W43" s="264"/>
      <c r="X43" s="264"/>
      <c r="Y43" s="264"/>
      <c r="Z43" s="264"/>
      <c r="AA43" s="264"/>
      <c r="AB43" s="264"/>
      <c r="AC43" s="264"/>
      <c r="AD43" s="264"/>
      <c r="AE43" s="264"/>
      <c r="AF43" s="264"/>
      <c r="AG43" s="264"/>
      <c r="AH43" s="264"/>
      <c r="AI43" s="264"/>
      <c r="AJ43" s="264"/>
      <c r="AK43" s="264"/>
      <c r="AL43" s="264"/>
      <c r="AM43" s="264"/>
      <c r="AN43" s="264"/>
      <c r="AO43" s="264"/>
      <c r="AP43" s="264"/>
      <c r="AQ43" s="264"/>
      <c r="AR43" s="264"/>
      <c r="AS43" s="264"/>
      <c r="AT43" s="264"/>
      <c r="AU43" s="264"/>
      <c r="AV43" s="264"/>
      <c r="AW43" s="264"/>
      <c r="AX43" s="264"/>
      <c r="AY43" s="264"/>
      <c r="AZ43" s="264"/>
      <c r="BA43" s="264"/>
      <c r="BB43" s="264"/>
      <c r="BC43" s="264"/>
      <c r="BD43" s="264"/>
      <c r="BE43" s="264"/>
      <c r="BF43" s="264"/>
      <c r="BG43" s="264"/>
      <c r="BH43" s="264"/>
      <c r="BI43" s="264"/>
      <c r="BJ43" s="264"/>
      <c r="BK43" s="264"/>
      <c r="BL43" s="264"/>
      <c r="BM43" s="264"/>
      <c r="BN43" s="264"/>
      <c r="BO43" s="264"/>
      <c r="BP43" s="264"/>
      <c r="BQ43" s="264"/>
      <c r="BR43" s="264"/>
      <c r="BS43" s="264"/>
      <c r="BT43" s="264"/>
    </row>
    <row r="44" spans="1:72" x14ac:dyDescent="0.25">
      <c r="A44" s="265"/>
      <c r="B44" s="265"/>
      <c r="C44" s="265"/>
      <c r="D44" s="265"/>
      <c r="E44" s="265"/>
      <c r="F44" s="265"/>
      <c r="G44" s="265"/>
      <c r="H44" s="265"/>
      <c r="I44" s="265"/>
      <c r="J44" s="265"/>
      <c r="K44" s="264"/>
      <c r="L44" s="264"/>
      <c r="M44" s="264"/>
      <c r="N44" s="264"/>
      <c r="O44" s="264"/>
      <c r="P44" s="264"/>
      <c r="Q44" s="264"/>
      <c r="R44" s="264"/>
      <c r="S44" s="264"/>
      <c r="T44" s="264"/>
      <c r="U44" s="264"/>
      <c r="V44" s="264"/>
      <c r="W44" s="264"/>
      <c r="X44" s="264"/>
      <c r="Y44" s="264"/>
      <c r="Z44" s="264"/>
      <c r="AA44" s="264"/>
      <c r="AB44" s="264"/>
      <c r="AC44" s="264"/>
      <c r="AD44" s="264"/>
      <c r="AE44" s="264"/>
      <c r="AF44" s="264"/>
      <c r="AG44" s="264"/>
      <c r="AH44" s="264"/>
      <c r="AI44" s="264"/>
      <c r="AJ44" s="264"/>
      <c r="AK44" s="264"/>
      <c r="AL44" s="264"/>
      <c r="AM44" s="264"/>
      <c r="AN44" s="264"/>
      <c r="AO44" s="264"/>
      <c r="AP44" s="264"/>
      <c r="AQ44" s="264"/>
      <c r="AR44" s="264"/>
      <c r="AS44" s="264"/>
      <c r="AT44" s="264"/>
      <c r="AU44" s="264"/>
      <c r="AV44" s="264"/>
      <c r="AW44" s="264"/>
      <c r="AX44" s="264"/>
      <c r="AY44" s="264"/>
      <c r="AZ44" s="264"/>
      <c r="BA44" s="264"/>
      <c r="BB44" s="264"/>
      <c r="BC44" s="264"/>
      <c r="BD44" s="264"/>
      <c r="BE44" s="264"/>
      <c r="BF44" s="264"/>
      <c r="BG44" s="264"/>
      <c r="BH44" s="264"/>
      <c r="BI44" s="264"/>
      <c r="BJ44" s="264"/>
      <c r="BK44" s="264"/>
      <c r="BL44" s="264"/>
      <c r="BM44" s="264"/>
      <c r="BN44" s="264"/>
      <c r="BO44" s="264"/>
      <c r="BP44" s="264"/>
      <c r="BQ44" s="264"/>
      <c r="BR44" s="264"/>
      <c r="BS44" s="264"/>
      <c r="BT44" s="264"/>
    </row>
    <row r="45" spans="1:72" x14ac:dyDescent="0.25">
      <c r="A45" s="265"/>
      <c r="B45" s="265"/>
      <c r="C45" s="265"/>
      <c r="D45" s="265"/>
      <c r="E45" s="265"/>
      <c r="F45" s="265"/>
      <c r="G45" s="265"/>
      <c r="H45" s="265"/>
      <c r="I45" s="265"/>
      <c r="J45" s="265"/>
      <c r="K45" s="264"/>
      <c r="L45" s="264"/>
      <c r="M45" s="264"/>
      <c r="N45" s="264"/>
      <c r="O45" s="264"/>
      <c r="P45" s="264"/>
      <c r="Q45" s="264"/>
      <c r="R45" s="264"/>
      <c r="S45" s="264"/>
      <c r="T45" s="264"/>
      <c r="U45" s="264"/>
      <c r="V45" s="264"/>
      <c r="W45" s="264"/>
      <c r="X45" s="264"/>
      <c r="Y45" s="264"/>
      <c r="Z45" s="264"/>
      <c r="AA45" s="264"/>
      <c r="AB45" s="264"/>
      <c r="AC45" s="264"/>
      <c r="AD45" s="264"/>
      <c r="AE45" s="264"/>
      <c r="AF45" s="264"/>
      <c r="AG45" s="264"/>
      <c r="AH45" s="264"/>
      <c r="AI45" s="264"/>
      <c r="AJ45" s="264"/>
      <c r="AK45" s="264"/>
      <c r="AL45" s="264"/>
      <c r="AM45" s="264"/>
      <c r="AN45" s="264"/>
      <c r="AO45" s="264"/>
      <c r="AP45" s="264"/>
      <c r="AQ45" s="264"/>
      <c r="AR45" s="264"/>
      <c r="AS45" s="264"/>
      <c r="AT45" s="264"/>
      <c r="AU45" s="264"/>
      <c r="AV45" s="264"/>
      <c r="AW45" s="264"/>
      <c r="AX45" s="264"/>
      <c r="AY45" s="264"/>
      <c r="AZ45" s="264"/>
      <c r="BA45" s="264"/>
      <c r="BB45" s="264"/>
      <c r="BC45" s="264"/>
      <c r="BD45" s="264"/>
      <c r="BE45" s="264"/>
      <c r="BF45" s="264"/>
      <c r="BG45" s="264"/>
      <c r="BH45" s="264"/>
      <c r="BI45" s="264"/>
      <c r="BJ45" s="264"/>
      <c r="BK45" s="264"/>
      <c r="BL45" s="264"/>
      <c r="BM45" s="264"/>
      <c r="BN45" s="264"/>
      <c r="BO45" s="264"/>
      <c r="BP45" s="264"/>
      <c r="BQ45" s="264"/>
      <c r="BR45" s="264"/>
      <c r="BS45" s="264"/>
      <c r="BT45" s="264"/>
    </row>
    <row r="46" spans="1:72" x14ac:dyDescent="0.25">
      <c r="A46" s="265"/>
      <c r="B46" s="265"/>
      <c r="C46" s="265"/>
      <c r="D46" s="265"/>
      <c r="E46" s="265"/>
      <c r="F46" s="265"/>
      <c r="G46" s="265"/>
      <c r="H46" s="265"/>
      <c r="I46" s="265"/>
      <c r="J46" s="265"/>
      <c r="K46" s="264"/>
      <c r="L46" s="264"/>
      <c r="M46" s="264"/>
      <c r="N46" s="264"/>
      <c r="O46" s="264"/>
      <c r="P46" s="264"/>
      <c r="Q46" s="264"/>
      <c r="R46" s="264"/>
      <c r="S46" s="264"/>
      <c r="T46" s="264"/>
      <c r="U46" s="264"/>
      <c r="V46" s="264"/>
      <c r="W46" s="264"/>
      <c r="X46" s="264"/>
      <c r="Y46" s="264"/>
      <c r="Z46" s="264"/>
      <c r="AA46" s="264"/>
      <c r="AB46" s="264"/>
      <c r="AC46" s="264"/>
      <c r="AD46" s="264"/>
      <c r="AE46" s="264"/>
      <c r="AF46" s="264"/>
      <c r="AG46" s="264"/>
      <c r="AH46" s="264"/>
      <c r="AI46" s="264"/>
      <c r="AJ46" s="264"/>
      <c r="AK46" s="264"/>
      <c r="AL46" s="264"/>
      <c r="AM46" s="264"/>
      <c r="AN46" s="264"/>
      <c r="AO46" s="264"/>
      <c r="AP46" s="264"/>
      <c r="AQ46" s="264"/>
      <c r="AR46" s="264"/>
      <c r="AS46" s="264"/>
      <c r="AT46" s="264"/>
      <c r="AU46" s="264"/>
      <c r="AV46" s="264"/>
      <c r="AW46" s="264"/>
      <c r="AX46" s="264"/>
      <c r="AY46" s="264"/>
      <c r="AZ46" s="264"/>
      <c r="BA46" s="264"/>
      <c r="BB46" s="264"/>
      <c r="BC46" s="264"/>
      <c r="BD46" s="264"/>
      <c r="BE46" s="264"/>
      <c r="BF46" s="264"/>
      <c r="BG46" s="264"/>
      <c r="BH46" s="264"/>
      <c r="BI46" s="264"/>
      <c r="BJ46" s="264"/>
      <c r="BK46" s="264"/>
      <c r="BL46" s="264"/>
      <c r="BM46" s="264"/>
      <c r="BN46" s="264"/>
      <c r="BO46" s="264"/>
      <c r="BP46" s="264"/>
      <c r="BQ46" s="264"/>
      <c r="BR46" s="264"/>
      <c r="BS46" s="264"/>
      <c r="BT46" s="264"/>
    </row>
    <row r="47" spans="1:72" x14ac:dyDescent="0.25">
      <c r="A47" s="265"/>
      <c r="B47" s="265"/>
      <c r="C47" s="265"/>
      <c r="D47" s="265"/>
      <c r="E47" s="265"/>
      <c r="F47" s="265"/>
      <c r="G47" s="265"/>
      <c r="H47" s="265"/>
      <c r="I47" s="265"/>
      <c r="J47" s="265"/>
      <c r="K47" s="264"/>
      <c r="L47" s="264"/>
      <c r="M47" s="264"/>
      <c r="N47" s="264"/>
      <c r="O47" s="264"/>
      <c r="P47" s="264"/>
      <c r="Q47" s="264"/>
      <c r="R47" s="264"/>
      <c r="S47" s="264"/>
      <c r="T47" s="264"/>
      <c r="U47" s="264"/>
      <c r="V47" s="264"/>
      <c r="W47" s="264"/>
      <c r="X47" s="264"/>
      <c r="Y47" s="264"/>
      <c r="Z47" s="264"/>
      <c r="AA47" s="264"/>
      <c r="AB47" s="264"/>
      <c r="AC47" s="264"/>
      <c r="AD47" s="264"/>
      <c r="AE47" s="264"/>
      <c r="AF47" s="264"/>
      <c r="AG47" s="264"/>
      <c r="AH47" s="264"/>
      <c r="AI47" s="264"/>
      <c r="AJ47" s="264"/>
      <c r="AK47" s="264"/>
      <c r="AL47" s="264"/>
      <c r="AM47" s="264"/>
      <c r="AN47" s="264"/>
      <c r="AO47" s="264"/>
      <c r="AP47" s="264"/>
      <c r="AQ47" s="264"/>
      <c r="AR47" s="264"/>
      <c r="AS47" s="264"/>
      <c r="AT47" s="264"/>
      <c r="AU47" s="264"/>
      <c r="AV47" s="264"/>
      <c r="AW47" s="264"/>
      <c r="AX47" s="264"/>
      <c r="AY47" s="264"/>
      <c r="AZ47" s="264"/>
      <c r="BA47" s="264"/>
      <c r="BB47" s="264"/>
      <c r="BC47" s="264"/>
      <c r="BD47" s="264"/>
      <c r="BE47" s="264"/>
      <c r="BF47" s="264"/>
      <c r="BG47" s="264"/>
      <c r="BH47" s="264"/>
      <c r="BI47" s="264"/>
      <c r="BJ47" s="264"/>
      <c r="BK47" s="264"/>
      <c r="BL47" s="264"/>
      <c r="BM47" s="264"/>
      <c r="BN47" s="264"/>
      <c r="BO47" s="264"/>
      <c r="BP47" s="264"/>
      <c r="BQ47" s="264"/>
      <c r="BR47" s="264"/>
      <c r="BS47" s="264"/>
      <c r="BT47" s="264"/>
    </row>
    <row r="48" spans="1:72" x14ac:dyDescent="0.25">
      <c r="A48" s="265"/>
      <c r="B48" s="265"/>
      <c r="C48" s="265"/>
      <c r="D48" s="265"/>
      <c r="E48" s="265"/>
      <c r="F48" s="265"/>
      <c r="G48" s="265"/>
      <c r="H48" s="265"/>
      <c r="I48" s="265"/>
      <c r="J48" s="265"/>
      <c r="K48" s="264"/>
      <c r="L48" s="264"/>
      <c r="M48" s="264"/>
      <c r="N48" s="264"/>
      <c r="O48" s="264"/>
      <c r="P48" s="264"/>
      <c r="Q48" s="264"/>
      <c r="R48" s="264"/>
      <c r="S48" s="264"/>
      <c r="T48" s="264"/>
      <c r="U48" s="264"/>
      <c r="V48" s="264"/>
      <c r="W48" s="264"/>
      <c r="X48" s="264"/>
      <c r="Y48" s="264"/>
      <c r="Z48" s="264"/>
      <c r="AA48" s="264"/>
      <c r="AB48" s="264"/>
      <c r="AC48" s="264"/>
      <c r="AD48" s="264"/>
      <c r="AE48" s="264"/>
      <c r="AF48" s="264"/>
      <c r="AG48" s="264"/>
      <c r="AH48" s="264"/>
      <c r="AI48" s="264"/>
      <c r="AJ48" s="264"/>
      <c r="AK48" s="264"/>
      <c r="AL48" s="264"/>
      <c r="AM48" s="264"/>
      <c r="AN48" s="264"/>
      <c r="AO48" s="264"/>
      <c r="AP48" s="264"/>
      <c r="AQ48" s="264"/>
      <c r="AR48" s="264"/>
      <c r="AS48" s="264"/>
      <c r="AT48" s="264"/>
      <c r="AU48" s="264"/>
      <c r="AV48" s="264"/>
      <c r="AW48" s="264"/>
      <c r="AX48" s="264"/>
      <c r="AY48" s="264"/>
      <c r="AZ48" s="264"/>
      <c r="BA48" s="264"/>
      <c r="BB48" s="264"/>
      <c r="BC48" s="264"/>
      <c r="BD48" s="264"/>
      <c r="BE48" s="264"/>
      <c r="BF48" s="264"/>
      <c r="BG48" s="264"/>
      <c r="BH48" s="264"/>
      <c r="BI48" s="264"/>
      <c r="BJ48" s="264"/>
      <c r="BK48" s="264"/>
      <c r="BL48" s="264"/>
      <c r="BM48" s="264"/>
      <c r="BN48" s="264"/>
      <c r="BO48" s="264"/>
      <c r="BP48" s="264"/>
      <c r="BQ48" s="264"/>
      <c r="BR48" s="264"/>
      <c r="BS48" s="264"/>
      <c r="BT48" s="264"/>
    </row>
    <row r="49" spans="1:72" x14ac:dyDescent="0.25">
      <c r="A49" s="265"/>
      <c r="B49" s="265"/>
      <c r="C49" s="265"/>
      <c r="D49" s="265"/>
      <c r="E49" s="265"/>
      <c r="F49" s="265"/>
      <c r="G49" s="265"/>
      <c r="H49" s="265"/>
      <c r="I49" s="265"/>
      <c r="J49" s="265"/>
      <c r="K49" s="264"/>
      <c r="L49" s="264"/>
      <c r="M49" s="264"/>
      <c r="N49" s="264"/>
      <c r="O49" s="264"/>
      <c r="P49" s="264"/>
      <c r="Q49" s="264"/>
      <c r="R49" s="264"/>
      <c r="S49" s="264"/>
      <c r="T49" s="264"/>
      <c r="U49" s="264"/>
      <c r="V49" s="264"/>
      <c r="W49" s="264"/>
      <c r="X49" s="264"/>
      <c r="Y49" s="264"/>
      <c r="Z49" s="264"/>
      <c r="AA49" s="264"/>
      <c r="AB49" s="264"/>
      <c r="AC49" s="264"/>
      <c r="AD49" s="264"/>
      <c r="AE49" s="264"/>
      <c r="AF49" s="264"/>
      <c r="AG49" s="264"/>
      <c r="AH49" s="264"/>
      <c r="AI49" s="264"/>
      <c r="AJ49" s="264"/>
      <c r="AK49" s="264"/>
      <c r="AL49" s="264"/>
      <c r="AM49" s="264"/>
      <c r="AN49" s="264"/>
      <c r="AO49" s="264"/>
      <c r="AP49" s="264"/>
      <c r="AQ49" s="264"/>
      <c r="AR49" s="264"/>
      <c r="AS49" s="264"/>
      <c r="AT49" s="264"/>
      <c r="AU49" s="264"/>
      <c r="AV49" s="264"/>
      <c r="AW49" s="264"/>
      <c r="AX49" s="264"/>
      <c r="AY49" s="264"/>
      <c r="AZ49" s="264"/>
      <c r="BA49" s="264"/>
      <c r="BB49" s="264"/>
      <c r="BC49" s="264"/>
      <c r="BD49" s="264"/>
      <c r="BE49" s="264"/>
      <c r="BF49" s="264"/>
      <c r="BG49" s="264"/>
      <c r="BH49" s="264"/>
      <c r="BI49" s="264"/>
      <c r="BJ49" s="264"/>
      <c r="BK49" s="264"/>
      <c r="BL49" s="264"/>
      <c r="BM49" s="264"/>
      <c r="BN49" s="264"/>
      <c r="BO49" s="264"/>
      <c r="BP49" s="264"/>
      <c r="BQ49" s="264"/>
      <c r="BR49" s="264"/>
      <c r="BS49" s="264"/>
      <c r="BT49" s="264"/>
    </row>
    <row r="50" spans="1:72" x14ac:dyDescent="0.25">
      <c r="A50" s="265"/>
      <c r="B50" s="265"/>
      <c r="C50" s="265"/>
      <c r="D50" s="265"/>
      <c r="E50" s="265"/>
      <c r="F50" s="265"/>
      <c r="G50" s="265"/>
      <c r="H50" s="265"/>
      <c r="I50" s="265"/>
      <c r="J50" s="265"/>
      <c r="K50" s="264"/>
      <c r="L50" s="264"/>
      <c r="M50" s="264"/>
      <c r="N50" s="264"/>
      <c r="O50" s="264"/>
      <c r="P50" s="264"/>
      <c r="Q50" s="264"/>
      <c r="R50" s="264"/>
      <c r="S50" s="264"/>
      <c r="T50" s="264"/>
      <c r="U50" s="264"/>
      <c r="V50" s="264"/>
      <c r="W50" s="264"/>
      <c r="X50" s="264"/>
      <c r="Y50" s="264"/>
      <c r="Z50" s="264"/>
      <c r="AA50" s="264"/>
      <c r="AB50" s="264"/>
      <c r="AC50" s="264"/>
      <c r="AD50" s="264"/>
      <c r="AE50" s="264"/>
      <c r="AF50" s="264"/>
      <c r="AG50" s="264"/>
      <c r="AH50" s="264"/>
      <c r="AI50" s="264"/>
      <c r="AJ50" s="264"/>
      <c r="AK50" s="264"/>
      <c r="AL50" s="264"/>
      <c r="AM50" s="264"/>
      <c r="AN50" s="264"/>
      <c r="AO50" s="264"/>
      <c r="AP50" s="264"/>
      <c r="AQ50" s="264"/>
      <c r="AR50" s="264"/>
      <c r="AS50" s="264"/>
      <c r="AT50" s="264"/>
      <c r="AU50" s="264"/>
      <c r="AV50" s="264"/>
      <c r="AW50" s="264"/>
      <c r="AX50" s="264"/>
      <c r="AY50" s="264"/>
      <c r="AZ50" s="264"/>
      <c r="BA50" s="264"/>
      <c r="BB50" s="264"/>
      <c r="BC50" s="264"/>
      <c r="BD50" s="264"/>
      <c r="BE50" s="264"/>
      <c r="BF50" s="264"/>
      <c r="BG50" s="264"/>
      <c r="BH50" s="264"/>
      <c r="BI50" s="264"/>
      <c r="BJ50" s="264"/>
      <c r="BK50" s="264"/>
      <c r="BL50" s="264"/>
      <c r="BM50" s="264"/>
      <c r="BN50" s="264"/>
      <c r="BO50" s="264"/>
      <c r="BP50" s="264"/>
      <c r="BQ50" s="264"/>
      <c r="BR50" s="264"/>
      <c r="BS50" s="264"/>
      <c r="BT50" s="264"/>
    </row>
    <row r="51" spans="1:72" x14ac:dyDescent="0.25">
      <c r="A51" s="265"/>
      <c r="B51" s="265"/>
      <c r="C51" s="265"/>
      <c r="D51" s="265"/>
      <c r="E51" s="265"/>
      <c r="F51" s="265"/>
      <c r="G51" s="265"/>
      <c r="H51" s="265"/>
      <c r="I51" s="265"/>
      <c r="J51" s="265"/>
      <c r="K51" s="264"/>
      <c r="L51" s="264"/>
      <c r="M51" s="264"/>
      <c r="N51" s="264"/>
      <c r="O51" s="264"/>
      <c r="P51" s="264"/>
      <c r="Q51" s="264"/>
      <c r="R51" s="264"/>
      <c r="S51" s="264"/>
      <c r="T51" s="264"/>
      <c r="U51" s="264"/>
      <c r="V51" s="264"/>
      <c r="W51" s="264"/>
      <c r="X51" s="264"/>
      <c r="Y51" s="264"/>
      <c r="Z51" s="264"/>
      <c r="AA51" s="264"/>
      <c r="AB51" s="264"/>
      <c r="AC51" s="264"/>
      <c r="AD51" s="264"/>
      <c r="AE51" s="264"/>
      <c r="AF51" s="264"/>
      <c r="AG51" s="264"/>
      <c r="AH51" s="264"/>
      <c r="AI51" s="264"/>
      <c r="AJ51" s="264"/>
      <c r="AK51" s="264"/>
      <c r="AL51" s="264"/>
      <c r="AM51" s="264"/>
      <c r="AN51" s="264"/>
      <c r="AO51" s="264"/>
      <c r="AP51" s="264"/>
      <c r="AQ51" s="264"/>
      <c r="AR51" s="264"/>
      <c r="AS51" s="264"/>
      <c r="AT51" s="264"/>
      <c r="AU51" s="264"/>
      <c r="AV51" s="264"/>
      <c r="AW51" s="264"/>
      <c r="AX51" s="264"/>
      <c r="AY51" s="264"/>
      <c r="AZ51" s="264"/>
      <c r="BA51" s="264"/>
      <c r="BB51" s="264"/>
      <c r="BC51" s="264"/>
      <c r="BD51" s="264"/>
      <c r="BE51" s="264"/>
      <c r="BF51" s="264"/>
      <c r="BG51" s="264"/>
      <c r="BH51" s="264"/>
      <c r="BI51" s="264"/>
      <c r="BJ51" s="264"/>
      <c r="BK51" s="264"/>
      <c r="BL51" s="264"/>
      <c r="BM51" s="264"/>
      <c r="BN51" s="264"/>
      <c r="BO51" s="264"/>
      <c r="BP51" s="264"/>
      <c r="BQ51" s="264"/>
      <c r="BR51" s="264"/>
      <c r="BS51" s="264"/>
      <c r="BT51" s="264"/>
    </row>
    <row r="52" spans="1:72" x14ac:dyDescent="0.25">
      <c r="A52" s="265"/>
      <c r="B52" s="265"/>
      <c r="C52" s="265"/>
      <c r="D52" s="265"/>
      <c r="E52" s="265"/>
      <c r="F52" s="265"/>
      <c r="G52" s="265"/>
      <c r="H52" s="265"/>
      <c r="I52" s="265"/>
      <c r="J52" s="265"/>
      <c r="K52" s="264"/>
      <c r="L52" s="264"/>
      <c r="M52" s="264"/>
      <c r="N52" s="264"/>
      <c r="O52" s="264"/>
      <c r="P52" s="264"/>
      <c r="Q52" s="264"/>
      <c r="R52" s="264"/>
      <c r="S52" s="264"/>
      <c r="T52" s="264"/>
      <c r="U52" s="264"/>
      <c r="V52" s="264"/>
      <c r="W52" s="264"/>
      <c r="X52" s="264"/>
      <c r="Y52" s="264"/>
      <c r="Z52" s="264"/>
      <c r="AA52" s="264"/>
      <c r="AB52" s="264"/>
      <c r="AC52" s="264"/>
      <c r="AD52" s="264"/>
      <c r="AE52" s="264"/>
      <c r="AF52" s="264"/>
      <c r="AG52" s="264"/>
      <c r="AH52" s="264"/>
      <c r="AI52" s="264"/>
      <c r="AJ52" s="264"/>
      <c r="AK52" s="264"/>
      <c r="AL52" s="264"/>
      <c r="AM52" s="264"/>
      <c r="AN52" s="264"/>
      <c r="AO52" s="264"/>
      <c r="AP52" s="264"/>
      <c r="AQ52" s="264"/>
      <c r="AR52" s="264"/>
      <c r="AS52" s="264"/>
      <c r="AT52" s="264"/>
      <c r="AU52" s="264"/>
      <c r="AV52" s="264"/>
      <c r="AW52" s="264"/>
      <c r="AX52" s="264"/>
      <c r="AY52" s="264"/>
      <c r="AZ52" s="264"/>
      <c r="BA52" s="264"/>
      <c r="BB52" s="264"/>
      <c r="BC52" s="264"/>
      <c r="BD52" s="264"/>
      <c r="BE52" s="264"/>
      <c r="BF52" s="264"/>
      <c r="BG52" s="264"/>
      <c r="BH52" s="264"/>
      <c r="BI52" s="264"/>
      <c r="BJ52" s="264"/>
      <c r="BK52" s="264"/>
      <c r="BL52" s="264"/>
      <c r="BM52" s="264"/>
      <c r="BN52" s="264"/>
      <c r="BO52" s="264"/>
      <c r="BP52" s="264"/>
      <c r="BQ52" s="264"/>
      <c r="BR52" s="264"/>
      <c r="BS52" s="264"/>
      <c r="BT52" s="264"/>
    </row>
    <row r="53" spans="1:72" x14ac:dyDescent="0.25">
      <c r="A53" s="265"/>
      <c r="B53" s="265"/>
      <c r="C53" s="265"/>
      <c r="D53" s="265"/>
      <c r="E53" s="265"/>
      <c r="F53" s="265"/>
      <c r="G53" s="265"/>
      <c r="H53" s="265"/>
      <c r="I53" s="265"/>
      <c r="J53" s="265"/>
      <c r="K53" s="264"/>
      <c r="L53" s="264"/>
      <c r="M53" s="264"/>
      <c r="N53" s="264"/>
      <c r="O53" s="264"/>
      <c r="P53" s="264"/>
      <c r="Q53" s="264"/>
      <c r="R53" s="264"/>
      <c r="S53" s="264"/>
      <c r="T53" s="264"/>
      <c r="U53" s="264"/>
      <c r="V53" s="264"/>
      <c r="W53" s="264"/>
      <c r="X53" s="264"/>
      <c r="Y53" s="264"/>
      <c r="Z53" s="264"/>
      <c r="AA53" s="264"/>
      <c r="AB53" s="264"/>
      <c r="AC53" s="264"/>
      <c r="AD53" s="264"/>
      <c r="AE53" s="264"/>
      <c r="AF53" s="264"/>
      <c r="AG53" s="264"/>
      <c r="AH53" s="264"/>
      <c r="AI53" s="264"/>
      <c r="AJ53" s="264"/>
      <c r="AK53" s="264"/>
      <c r="AL53" s="264"/>
      <c r="AM53" s="264"/>
      <c r="AN53" s="264"/>
      <c r="AO53" s="264"/>
      <c r="AP53" s="264"/>
      <c r="AQ53" s="264"/>
      <c r="AR53" s="264"/>
      <c r="AS53" s="264"/>
      <c r="AT53" s="264"/>
      <c r="AU53" s="264"/>
      <c r="AV53" s="264"/>
      <c r="AW53" s="264"/>
      <c r="AX53" s="264"/>
      <c r="AY53" s="264"/>
      <c r="AZ53" s="264"/>
      <c r="BA53" s="264"/>
      <c r="BB53" s="264"/>
      <c r="BC53" s="264"/>
      <c r="BD53" s="264"/>
      <c r="BE53" s="264"/>
      <c r="BF53" s="264"/>
      <c r="BG53" s="264"/>
      <c r="BH53" s="264"/>
      <c r="BI53" s="264"/>
      <c r="BJ53" s="264"/>
      <c r="BK53" s="264"/>
      <c r="BL53" s="264"/>
      <c r="BM53" s="264"/>
      <c r="BN53" s="264"/>
      <c r="BO53" s="264"/>
      <c r="BP53" s="264"/>
      <c r="BQ53" s="264"/>
      <c r="BR53" s="264"/>
      <c r="BS53" s="264"/>
      <c r="BT53" s="264"/>
    </row>
    <row r="54" spans="1:72" x14ac:dyDescent="0.25">
      <c r="A54" s="265"/>
      <c r="B54" s="265"/>
      <c r="C54" s="265"/>
      <c r="D54" s="265"/>
      <c r="E54" s="265"/>
      <c r="F54" s="265"/>
      <c r="G54" s="265"/>
      <c r="H54" s="265"/>
      <c r="I54" s="265"/>
      <c r="J54" s="265"/>
      <c r="K54" s="264"/>
      <c r="L54" s="264"/>
      <c r="M54" s="264"/>
      <c r="N54" s="264"/>
      <c r="O54" s="264"/>
      <c r="P54" s="264"/>
      <c r="Q54" s="264"/>
      <c r="R54" s="264"/>
      <c r="S54" s="264"/>
      <c r="T54" s="264"/>
      <c r="U54" s="264"/>
      <c r="V54" s="264"/>
      <c r="W54" s="264"/>
      <c r="X54" s="264"/>
      <c r="Y54" s="264"/>
      <c r="Z54" s="264"/>
      <c r="AA54" s="264"/>
      <c r="AB54" s="264"/>
      <c r="AC54" s="264"/>
      <c r="AD54" s="264"/>
      <c r="AE54" s="264"/>
      <c r="AF54" s="264"/>
      <c r="AG54" s="264"/>
      <c r="AH54" s="264"/>
      <c r="AI54" s="264"/>
      <c r="AJ54" s="264"/>
      <c r="AK54" s="264"/>
      <c r="AL54" s="264"/>
      <c r="AM54" s="264"/>
      <c r="AN54" s="264"/>
      <c r="AO54" s="264"/>
      <c r="AP54" s="264"/>
      <c r="AQ54" s="264"/>
      <c r="AR54" s="264"/>
      <c r="AS54" s="264"/>
      <c r="AT54" s="264"/>
      <c r="AU54" s="264"/>
      <c r="AV54" s="264"/>
      <c r="AW54" s="264"/>
      <c r="AX54" s="264"/>
      <c r="AY54" s="264"/>
      <c r="AZ54" s="264"/>
      <c r="BA54" s="264"/>
      <c r="BB54" s="264"/>
      <c r="BC54" s="264"/>
      <c r="BD54" s="264"/>
      <c r="BE54" s="264"/>
      <c r="BF54" s="264"/>
      <c r="BG54" s="264"/>
      <c r="BH54" s="264"/>
      <c r="BI54" s="264"/>
      <c r="BJ54" s="264"/>
      <c r="BK54" s="264"/>
      <c r="BL54" s="264"/>
      <c r="BM54" s="264"/>
      <c r="BN54" s="264"/>
      <c r="BO54" s="264"/>
      <c r="BP54" s="264"/>
      <c r="BQ54" s="264"/>
      <c r="BR54" s="264"/>
      <c r="BS54" s="264"/>
      <c r="BT54" s="264"/>
    </row>
    <row r="55" spans="1:72" x14ac:dyDescent="0.25">
      <c r="A55" s="265"/>
      <c r="B55" s="265"/>
      <c r="C55" s="265"/>
      <c r="D55" s="265"/>
      <c r="E55" s="265"/>
      <c r="F55" s="265"/>
      <c r="G55" s="265"/>
      <c r="H55" s="265"/>
      <c r="I55" s="265"/>
      <c r="J55" s="265"/>
      <c r="K55" s="264"/>
      <c r="L55" s="264"/>
      <c r="M55" s="264"/>
      <c r="N55" s="264"/>
      <c r="O55" s="264"/>
      <c r="P55" s="264"/>
      <c r="Q55" s="264"/>
      <c r="R55" s="264"/>
      <c r="S55" s="264"/>
      <c r="T55" s="264"/>
      <c r="U55" s="264"/>
      <c r="V55" s="264"/>
      <c r="W55" s="264"/>
      <c r="X55" s="264"/>
      <c r="Y55" s="264"/>
      <c r="Z55" s="264"/>
      <c r="AA55" s="264"/>
      <c r="AB55" s="264"/>
      <c r="AC55" s="264"/>
      <c r="AD55" s="264"/>
      <c r="AE55" s="264"/>
      <c r="AF55" s="264"/>
      <c r="AG55" s="264"/>
      <c r="AH55" s="264"/>
      <c r="AI55" s="264"/>
      <c r="AJ55" s="264"/>
      <c r="AK55" s="264"/>
      <c r="AL55" s="264"/>
      <c r="AM55" s="264"/>
      <c r="AN55" s="264"/>
      <c r="AO55" s="264"/>
      <c r="AP55" s="264"/>
      <c r="AQ55" s="264"/>
      <c r="AR55" s="264"/>
      <c r="AS55" s="264"/>
      <c r="AT55" s="264"/>
      <c r="AU55" s="264"/>
      <c r="AV55" s="264"/>
      <c r="AW55" s="264"/>
      <c r="AX55" s="264"/>
      <c r="AY55" s="264"/>
      <c r="AZ55" s="264"/>
      <c r="BA55" s="264"/>
      <c r="BB55" s="264"/>
      <c r="BC55" s="264"/>
      <c r="BD55" s="264"/>
      <c r="BE55" s="264"/>
      <c r="BF55" s="264"/>
      <c r="BG55" s="264"/>
      <c r="BH55" s="264"/>
      <c r="BI55" s="264"/>
      <c r="BJ55" s="264"/>
      <c r="BK55" s="264"/>
      <c r="BL55" s="264"/>
      <c r="BM55" s="264"/>
      <c r="BN55" s="264"/>
      <c r="BO55" s="264"/>
      <c r="BP55" s="264"/>
      <c r="BQ55" s="264"/>
      <c r="BR55" s="264"/>
      <c r="BS55" s="264"/>
      <c r="BT55" s="264"/>
    </row>
    <row r="56" spans="1:72" x14ac:dyDescent="0.25">
      <c r="A56" s="265"/>
      <c r="B56" s="265"/>
      <c r="C56" s="265"/>
      <c r="D56" s="265"/>
      <c r="E56" s="265"/>
      <c r="F56" s="265"/>
      <c r="G56" s="265"/>
      <c r="H56" s="265"/>
      <c r="I56" s="265"/>
      <c r="J56" s="265"/>
      <c r="K56" s="264"/>
      <c r="L56" s="264"/>
      <c r="M56" s="264"/>
      <c r="N56" s="264"/>
      <c r="O56" s="264"/>
      <c r="P56" s="264"/>
      <c r="Q56" s="264"/>
      <c r="R56" s="264"/>
      <c r="S56" s="264"/>
      <c r="T56" s="264"/>
      <c r="U56" s="264"/>
      <c r="V56" s="264"/>
      <c r="W56" s="264"/>
      <c r="X56" s="264"/>
      <c r="Y56" s="264"/>
      <c r="Z56" s="264"/>
      <c r="AA56" s="264"/>
      <c r="AB56" s="264"/>
      <c r="AC56" s="264"/>
      <c r="AD56" s="264"/>
      <c r="AE56" s="264"/>
      <c r="AF56" s="264"/>
      <c r="AG56" s="264"/>
      <c r="AH56" s="264"/>
      <c r="AI56" s="264"/>
      <c r="AJ56" s="264"/>
      <c r="AK56" s="264"/>
      <c r="AL56" s="264"/>
      <c r="AM56" s="264"/>
      <c r="AN56" s="264"/>
      <c r="AO56" s="264"/>
      <c r="AP56" s="264"/>
      <c r="AQ56" s="264"/>
      <c r="AR56" s="264"/>
      <c r="AS56" s="264"/>
      <c r="AT56" s="264"/>
      <c r="AU56" s="264"/>
      <c r="AV56" s="264"/>
      <c r="AW56" s="264"/>
      <c r="AX56" s="264"/>
      <c r="AY56" s="264"/>
      <c r="AZ56" s="264"/>
      <c r="BA56" s="264"/>
      <c r="BB56" s="264"/>
      <c r="BC56" s="264"/>
      <c r="BD56" s="264"/>
      <c r="BE56" s="264"/>
      <c r="BF56" s="264"/>
      <c r="BG56" s="264"/>
      <c r="BH56" s="264"/>
      <c r="BI56" s="264"/>
      <c r="BJ56" s="264"/>
      <c r="BK56" s="264"/>
      <c r="BL56" s="264"/>
      <c r="BM56" s="264"/>
      <c r="BN56" s="264"/>
      <c r="BO56" s="264"/>
      <c r="BP56" s="264"/>
      <c r="BQ56" s="264"/>
      <c r="BR56" s="264"/>
      <c r="BS56" s="264"/>
      <c r="BT56" s="264"/>
    </row>
    <row r="57" spans="1:72" x14ac:dyDescent="0.25">
      <c r="A57" s="265"/>
      <c r="B57" s="265"/>
      <c r="C57" s="265"/>
      <c r="D57" s="265"/>
      <c r="E57" s="265"/>
      <c r="F57" s="265"/>
      <c r="G57" s="265"/>
      <c r="H57" s="265"/>
      <c r="I57" s="265"/>
      <c r="J57" s="265"/>
      <c r="K57" s="264"/>
      <c r="L57" s="264"/>
      <c r="M57" s="264"/>
      <c r="N57" s="264"/>
      <c r="O57" s="264"/>
      <c r="P57" s="264"/>
      <c r="Q57" s="264"/>
      <c r="R57" s="264"/>
      <c r="S57" s="264"/>
      <c r="T57" s="264"/>
      <c r="U57" s="264"/>
      <c r="V57" s="264"/>
      <c r="W57" s="264"/>
      <c r="X57" s="264"/>
      <c r="Y57" s="264"/>
      <c r="Z57" s="264"/>
      <c r="AA57" s="264"/>
      <c r="AB57" s="264"/>
      <c r="AC57" s="264"/>
      <c r="AD57" s="264"/>
      <c r="AE57" s="264"/>
      <c r="AF57" s="264"/>
      <c r="AG57" s="264"/>
      <c r="AH57" s="264"/>
      <c r="AI57" s="264"/>
      <c r="AJ57" s="264"/>
      <c r="AK57" s="264"/>
      <c r="AL57" s="264"/>
      <c r="AM57" s="264"/>
      <c r="AN57" s="264"/>
      <c r="AO57" s="264"/>
      <c r="AP57" s="264"/>
      <c r="AQ57" s="264"/>
      <c r="AR57" s="264"/>
      <c r="AS57" s="264"/>
      <c r="AT57" s="264"/>
      <c r="AU57" s="264"/>
      <c r="AV57" s="264"/>
      <c r="AW57" s="264"/>
      <c r="AX57" s="264"/>
      <c r="AY57" s="264"/>
      <c r="AZ57" s="264"/>
      <c r="BA57" s="264"/>
      <c r="BB57" s="264"/>
      <c r="BC57" s="264"/>
      <c r="BD57" s="264"/>
      <c r="BE57" s="264"/>
      <c r="BF57" s="264"/>
      <c r="BG57" s="264"/>
      <c r="BH57" s="264"/>
      <c r="BI57" s="264"/>
      <c r="BJ57" s="264"/>
      <c r="BK57" s="264"/>
      <c r="BL57" s="264"/>
      <c r="BM57" s="264"/>
      <c r="BN57" s="264"/>
      <c r="BO57" s="264"/>
      <c r="BP57" s="264"/>
      <c r="BQ57" s="264"/>
      <c r="BR57" s="264"/>
      <c r="BS57" s="264"/>
      <c r="BT57" s="264"/>
    </row>
    <row r="58" spans="1:72" x14ac:dyDescent="0.25">
      <c r="A58" s="265"/>
      <c r="B58" s="265"/>
      <c r="C58" s="265"/>
      <c r="D58" s="265"/>
      <c r="E58" s="265"/>
      <c r="F58" s="265"/>
      <c r="G58" s="265"/>
      <c r="H58" s="265"/>
      <c r="I58" s="265"/>
      <c r="J58" s="265"/>
      <c r="K58" s="264"/>
      <c r="L58" s="264"/>
      <c r="M58" s="264"/>
      <c r="N58" s="264"/>
      <c r="O58" s="264"/>
      <c r="P58" s="264"/>
      <c r="Q58" s="264"/>
      <c r="R58" s="264"/>
      <c r="S58" s="264"/>
      <c r="T58" s="264"/>
      <c r="U58" s="264"/>
      <c r="V58" s="264"/>
      <c r="W58" s="264"/>
      <c r="X58" s="264"/>
      <c r="Y58" s="264"/>
      <c r="Z58" s="264"/>
      <c r="AA58" s="264"/>
      <c r="AB58" s="264"/>
      <c r="AC58" s="264"/>
      <c r="AD58" s="264"/>
      <c r="AE58" s="264"/>
      <c r="AF58" s="264"/>
      <c r="AG58" s="264"/>
      <c r="AH58" s="264"/>
      <c r="AI58" s="264"/>
      <c r="AJ58" s="264"/>
      <c r="AK58" s="264"/>
      <c r="AL58" s="264"/>
      <c r="AM58" s="264"/>
      <c r="AN58" s="264"/>
      <c r="AO58" s="264"/>
      <c r="AP58" s="264"/>
      <c r="AQ58" s="264"/>
      <c r="AR58" s="264"/>
      <c r="AS58" s="264"/>
      <c r="AT58" s="264"/>
      <c r="AU58" s="264"/>
      <c r="AV58" s="264"/>
      <c r="AW58" s="264"/>
      <c r="AX58" s="264"/>
      <c r="AY58" s="264"/>
      <c r="AZ58" s="264"/>
      <c r="BA58" s="264"/>
      <c r="BB58" s="264"/>
      <c r="BC58" s="264"/>
      <c r="BD58" s="264"/>
      <c r="BE58" s="264"/>
      <c r="BF58" s="264"/>
      <c r="BG58" s="264"/>
      <c r="BH58" s="264"/>
      <c r="BI58" s="264"/>
      <c r="BJ58" s="264"/>
      <c r="BK58" s="264"/>
      <c r="BL58" s="264"/>
      <c r="BM58" s="264"/>
      <c r="BN58" s="264"/>
      <c r="BO58" s="264"/>
      <c r="BP58" s="264"/>
      <c r="BQ58" s="264"/>
      <c r="BR58" s="264"/>
      <c r="BS58" s="264"/>
      <c r="BT58" s="264"/>
    </row>
    <row r="59" spans="1:72" x14ac:dyDescent="0.25">
      <c r="A59" s="265"/>
      <c r="B59" s="265"/>
      <c r="C59" s="265"/>
      <c r="D59" s="265"/>
      <c r="E59" s="265"/>
      <c r="F59" s="265"/>
      <c r="G59" s="265"/>
      <c r="H59" s="265"/>
      <c r="I59" s="265"/>
      <c r="J59" s="265"/>
      <c r="K59" s="264"/>
      <c r="L59" s="264"/>
      <c r="M59" s="264"/>
      <c r="N59" s="264"/>
      <c r="O59" s="264"/>
      <c r="P59" s="264"/>
      <c r="Q59" s="264"/>
      <c r="R59" s="264"/>
      <c r="S59" s="264"/>
      <c r="T59" s="264"/>
      <c r="U59" s="264"/>
      <c r="V59" s="264"/>
      <c r="W59" s="264"/>
      <c r="X59" s="264"/>
      <c r="Y59" s="264"/>
      <c r="Z59" s="264"/>
      <c r="AA59" s="264"/>
      <c r="AB59" s="264"/>
      <c r="AC59" s="264"/>
      <c r="AD59" s="264"/>
      <c r="AE59" s="264"/>
      <c r="AF59" s="264"/>
      <c r="AG59" s="264"/>
      <c r="AH59" s="264"/>
      <c r="AI59" s="264"/>
      <c r="AJ59" s="264"/>
      <c r="AK59" s="264"/>
      <c r="AL59" s="264"/>
      <c r="AM59" s="264"/>
      <c r="AN59" s="264"/>
      <c r="AO59" s="264"/>
      <c r="AP59" s="264"/>
      <c r="AQ59" s="264"/>
      <c r="AR59" s="264"/>
      <c r="AS59" s="264"/>
      <c r="AT59" s="264"/>
      <c r="AU59" s="264"/>
      <c r="AV59" s="264"/>
      <c r="AW59" s="264"/>
      <c r="AX59" s="264"/>
      <c r="AY59" s="264"/>
      <c r="AZ59" s="264"/>
      <c r="BA59" s="264"/>
      <c r="BB59" s="264"/>
      <c r="BC59" s="264"/>
      <c r="BD59" s="264"/>
      <c r="BE59" s="264"/>
      <c r="BF59" s="264"/>
      <c r="BG59" s="264"/>
      <c r="BH59" s="264"/>
      <c r="BI59" s="264"/>
      <c r="BJ59" s="264"/>
      <c r="BK59" s="264"/>
      <c r="BL59" s="264"/>
      <c r="BM59" s="264"/>
      <c r="BN59" s="264"/>
      <c r="BO59" s="264"/>
      <c r="BP59" s="264"/>
      <c r="BQ59" s="264"/>
      <c r="BR59" s="264"/>
      <c r="BS59" s="264"/>
      <c r="BT59" s="264"/>
    </row>
    <row r="60" spans="1:72" x14ac:dyDescent="0.25">
      <c r="A60" s="265"/>
      <c r="B60" s="265"/>
      <c r="C60" s="265"/>
      <c r="D60" s="265"/>
      <c r="E60" s="265"/>
      <c r="F60" s="265"/>
      <c r="G60" s="265"/>
      <c r="H60" s="265"/>
      <c r="I60" s="265"/>
      <c r="J60" s="265"/>
      <c r="K60" s="264"/>
      <c r="L60" s="264"/>
      <c r="M60" s="264"/>
      <c r="N60" s="264"/>
      <c r="O60" s="264"/>
      <c r="P60" s="264"/>
      <c r="Q60" s="264"/>
      <c r="R60" s="264"/>
      <c r="S60" s="264"/>
      <c r="T60" s="264"/>
      <c r="U60" s="264"/>
      <c r="V60" s="264"/>
      <c r="W60" s="264"/>
      <c r="X60" s="264"/>
      <c r="Y60" s="264"/>
      <c r="Z60" s="264"/>
      <c r="AA60" s="264"/>
      <c r="AB60" s="264"/>
      <c r="AC60" s="264"/>
      <c r="AD60" s="264"/>
      <c r="AE60" s="264"/>
      <c r="AF60" s="264"/>
      <c r="AG60" s="264"/>
      <c r="AH60" s="264"/>
      <c r="AI60" s="264"/>
      <c r="AJ60" s="264"/>
      <c r="AK60" s="264"/>
      <c r="AL60" s="264"/>
      <c r="AM60" s="264"/>
      <c r="AN60" s="264"/>
      <c r="AO60" s="264"/>
      <c r="AP60" s="264"/>
      <c r="AQ60" s="264"/>
      <c r="AR60" s="264"/>
      <c r="AS60" s="264"/>
      <c r="AT60" s="264"/>
      <c r="AU60" s="264"/>
      <c r="AV60" s="264"/>
      <c r="AW60" s="264"/>
      <c r="AX60" s="264"/>
      <c r="AY60" s="264"/>
      <c r="AZ60" s="264"/>
      <c r="BA60" s="264"/>
      <c r="BB60" s="264"/>
      <c r="BC60" s="264"/>
      <c r="BD60" s="264"/>
      <c r="BE60" s="264"/>
      <c r="BF60" s="264"/>
      <c r="BG60" s="264"/>
      <c r="BH60" s="264"/>
      <c r="BI60" s="264"/>
      <c r="BJ60" s="264"/>
      <c r="BK60" s="264"/>
      <c r="BL60" s="264"/>
      <c r="BM60" s="264"/>
      <c r="BN60" s="264"/>
      <c r="BO60" s="264"/>
      <c r="BP60" s="264"/>
      <c r="BQ60" s="264"/>
      <c r="BR60" s="264"/>
      <c r="BS60" s="264"/>
      <c r="BT60" s="264"/>
    </row>
    <row r="61" spans="1:72" x14ac:dyDescent="0.25">
      <c r="A61" s="265"/>
      <c r="B61" s="265"/>
      <c r="C61" s="265"/>
      <c r="D61" s="265"/>
      <c r="E61" s="265"/>
      <c r="F61" s="265"/>
      <c r="G61" s="265"/>
      <c r="H61" s="265"/>
      <c r="I61" s="265"/>
      <c r="J61" s="265"/>
      <c r="K61" s="264"/>
      <c r="L61" s="264"/>
      <c r="M61" s="264"/>
      <c r="N61" s="264"/>
      <c r="O61" s="264"/>
      <c r="P61" s="264"/>
      <c r="Q61" s="264"/>
      <c r="R61" s="264"/>
      <c r="S61" s="264"/>
      <c r="T61" s="264"/>
      <c r="U61" s="264"/>
      <c r="V61" s="264"/>
      <c r="W61" s="264"/>
      <c r="X61" s="264"/>
      <c r="Y61" s="264"/>
      <c r="Z61" s="264"/>
      <c r="AA61" s="264"/>
      <c r="AB61" s="264"/>
      <c r="AC61" s="264"/>
      <c r="AD61" s="264"/>
      <c r="AE61" s="264"/>
      <c r="AF61" s="264"/>
      <c r="AG61" s="264"/>
      <c r="AH61" s="264"/>
      <c r="AI61" s="264"/>
      <c r="AJ61" s="264"/>
      <c r="AK61" s="264"/>
      <c r="AL61" s="264"/>
      <c r="AM61" s="264"/>
      <c r="AN61" s="264"/>
      <c r="AO61" s="264"/>
      <c r="AP61" s="264"/>
      <c r="AQ61" s="264"/>
      <c r="AR61" s="264"/>
      <c r="AS61" s="264"/>
      <c r="AT61" s="264"/>
      <c r="AU61" s="264"/>
      <c r="AV61" s="264"/>
      <c r="AW61" s="264"/>
      <c r="AX61" s="264"/>
      <c r="AY61" s="264"/>
      <c r="AZ61" s="264"/>
      <c r="BA61" s="264"/>
      <c r="BB61" s="264"/>
      <c r="BC61" s="264"/>
      <c r="BD61" s="264"/>
      <c r="BE61" s="264"/>
      <c r="BF61" s="264"/>
      <c r="BG61" s="264"/>
      <c r="BH61" s="264"/>
      <c r="BI61" s="264"/>
      <c r="BJ61" s="264"/>
      <c r="BK61" s="264"/>
      <c r="BL61" s="264"/>
      <c r="BM61" s="264"/>
      <c r="BN61" s="264"/>
      <c r="BO61" s="264"/>
      <c r="BP61" s="264"/>
      <c r="BQ61" s="264"/>
      <c r="BR61" s="264"/>
      <c r="BS61" s="264"/>
      <c r="BT61" s="264"/>
    </row>
    <row r="62" spans="1:72" x14ac:dyDescent="0.25">
      <c r="A62" s="265"/>
      <c r="B62" s="265"/>
      <c r="C62" s="265"/>
      <c r="D62" s="265"/>
      <c r="E62" s="265"/>
      <c r="F62" s="265"/>
      <c r="G62" s="265"/>
      <c r="H62" s="265"/>
      <c r="I62" s="265"/>
      <c r="J62" s="265"/>
      <c r="K62" s="264"/>
      <c r="L62" s="264"/>
      <c r="M62" s="264"/>
      <c r="N62" s="264"/>
      <c r="O62" s="264"/>
      <c r="P62" s="264"/>
      <c r="Q62" s="264"/>
      <c r="R62" s="264"/>
      <c r="S62" s="264"/>
      <c r="T62" s="264"/>
      <c r="U62" s="264"/>
      <c r="V62" s="264"/>
      <c r="W62" s="264"/>
      <c r="X62" s="264"/>
      <c r="Y62" s="264"/>
      <c r="Z62" s="264"/>
      <c r="AA62" s="264"/>
      <c r="AB62" s="264"/>
      <c r="AC62" s="264"/>
      <c r="AD62" s="264"/>
      <c r="AE62" s="264"/>
      <c r="AF62" s="264"/>
      <c r="AG62" s="264"/>
      <c r="AH62" s="264"/>
      <c r="AI62" s="264"/>
      <c r="AJ62" s="264"/>
      <c r="AK62" s="264"/>
      <c r="AL62" s="264"/>
      <c r="AM62" s="264"/>
      <c r="AN62" s="264"/>
      <c r="AO62" s="264"/>
      <c r="AP62" s="264"/>
      <c r="AQ62" s="264"/>
      <c r="AR62" s="264"/>
      <c r="AS62" s="264"/>
      <c r="AT62" s="264"/>
      <c r="AU62" s="264"/>
      <c r="AV62" s="264"/>
      <c r="AW62" s="264"/>
      <c r="AX62" s="264"/>
      <c r="AY62" s="264"/>
      <c r="AZ62" s="264"/>
      <c r="BA62" s="264"/>
      <c r="BB62" s="264"/>
      <c r="BC62" s="264"/>
      <c r="BD62" s="264"/>
      <c r="BE62" s="264"/>
      <c r="BF62" s="264"/>
      <c r="BG62" s="264"/>
      <c r="BH62" s="264"/>
      <c r="BI62" s="264"/>
      <c r="BJ62" s="264"/>
      <c r="BK62" s="264"/>
      <c r="BL62" s="264"/>
      <c r="BM62" s="264"/>
      <c r="BN62" s="264"/>
      <c r="BO62" s="264"/>
      <c r="BP62" s="264"/>
      <c r="BQ62" s="264"/>
      <c r="BR62" s="264"/>
      <c r="BS62" s="264"/>
      <c r="BT62" s="264"/>
    </row>
    <row r="63" spans="1:72" x14ac:dyDescent="0.25">
      <c r="A63" s="265"/>
      <c r="B63" s="265"/>
      <c r="C63" s="265"/>
      <c r="D63" s="265"/>
      <c r="E63" s="265"/>
      <c r="F63" s="265"/>
      <c r="G63" s="265"/>
      <c r="H63" s="265"/>
      <c r="I63" s="265"/>
      <c r="J63" s="265"/>
      <c r="K63" s="264"/>
      <c r="L63" s="264"/>
      <c r="M63" s="264"/>
      <c r="N63" s="264"/>
      <c r="O63" s="264"/>
      <c r="P63" s="264"/>
      <c r="Q63" s="264"/>
      <c r="R63" s="264"/>
      <c r="S63" s="264"/>
      <c r="T63" s="264"/>
      <c r="U63" s="264"/>
      <c r="V63" s="264"/>
      <c r="W63" s="264"/>
      <c r="X63" s="264"/>
      <c r="Y63" s="264"/>
      <c r="Z63" s="264"/>
      <c r="AA63" s="264"/>
      <c r="AB63" s="264"/>
      <c r="AC63" s="264"/>
      <c r="AD63" s="264"/>
      <c r="AE63" s="264"/>
      <c r="AF63" s="264"/>
      <c r="AG63" s="264"/>
      <c r="AH63" s="264"/>
      <c r="AI63" s="264"/>
      <c r="AJ63" s="264"/>
      <c r="AK63" s="264"/>
      <c r="AL63" s="264"/>
      <c r="AM63" s="264"/>
      <c r="AN63" s="264"/>
      <c r="AO63" s="264"/>
      <c r="AP63" s="264"/>
      <c r="AQ63" s="264"/>
      <c r="AR63" s="264"/>
      <c r="AS63" s="264"/>
      <c r="AT63" s="264"/>
      <c r="AU63" s="264"/>
      <c r="AV63" s="264"/>
      <c r="AW63" s="264"/>
      <c r="AX63" s="264"/>
      <c r="AY63" s="264"/>
      <c r="AZ63" s="264"/>
      <c r="BA63" s="264"/>
      <c r="BB63" s="264"/>
      <c r="BC63" s="264"/>
      <c r="BD63" s="264"/>
      <c r="BE63" s="264"/>
      <c r="BF63" s="264"/>
      <c r="BG63" s="264"/>
      <c r="BH63" s="264"/>
      <c r="BI63" s="264"/>
      <c r="BJ63" s="264"/>
      <c r="BK63" s="264"/>
      <c r="BL63" s="264"/>
      <c r="BM63" s="264"/>
      <c r="BN63" s="264"/>
      <c r="BO63" s="264"/>
      <c r="BP63" s="264"/>
      <c r="BQ63" s="264"/>
      <c r="BR63" s="264"/>
      <c r="BS63" s="264"/>
      <c r="BT63" s="264"/>
    </row>
    <row r="64" spans="1:72" x14ac:dyDescent="0.25">
      <c r="A64" s="265"/>
      <c r="B64" s="265"/>
      <c r="C64" s="265"/>
      <c r="D64" s="265"/>
      <c r="E64" s="265"/>
      <c r="F64" s="265"/>
      <c r="G64" s="265"/>
      <c r="H64" s="265"/>
      <c r="I64" s="265"/>
      <c r="J64" s="265"/>
      <c r="K64" s="264"/>
      <c r="L64" s="264"/>
      <c r="M64" s="264"/>
      <c r="N64" s="264"/>
      <c r="O64" s="264"/>
      <c r="P64" s="264"/>
      <c r="Q64" s="264"/>
      <c r="R64" s="264"/>
      <c r="S64" s="264"/>
      <c r="T64" s="264"/>
      <c r="U64" s="264"/>
      <c r="V64" s="264"/>
      <c r="W64" s="264"/>
      <c r="X64" s="264"/>
      <c r="Y64" s="264"/>
      <c r="Z64" s="264"/>
      <c r="AA64" s="264"/>
      <c r="AB64" s="264"/>
      <c r="AC64" s="264"/>
      <c r="AD64" s="264"/>
      <c r="AE64" s="264"/>
      <c r="AF64" s="264"/>
      <c r="AG64" s="264"/>
      <c r="AH64" s="264"/>
      <c r="AI64" s="264"/>
      <c r="AJ64" s="264"/>
      <c r="AK64" s="264"/>
      <c r="AL64" s="264"/>
      <c r="AM64" s="264"/>
      <c r="AN64" s="264"/>
      <c r="AO64" s="264"/>
      <c r="AP64" s="264"/>
      <c r="AQ64" s="264"/>
      <c r="AR64" s="264"/>
      <c r="AS64" s="264"/>
      <c r="AT64" s="264"/>
      <c r="AU64" s="264"/>
      <c r="AV64" s="264"/>
      <c r="AW64" s="264"/>
      <c r="AX64" s="264"/>
      <c r="AY64" s="264"/>
      <c r="AZ64" s="264"/>
      <c r="BA64" s="264"/>
      <c r="BB64" s="264"/>
      <c r="BC64" s="264"/>
      <c r="BD64" s="264"/>
      <c r="BE64" s="264"/>
      <c r="BF64" s="264"/>
      <c r="BG64" s="264"/>
      <c r="BH64" s="264"/>
      <c r="BI64" s="264"/>
      <c r="BJ64" s="264"/>
      <c r="BK64" s="264"/>
      <c r="BL64" s="264"/>
      <c r="BM64" s="264"/>
      <c r="BN64" s="264"/>
      <c r="BO64" s="264"/>
      <c r="BP64" s="264"/>
      <c r="BQ64" s="264"/>
      <c r="BR64" s="264"/>
      <c r="BS64" s="264"/>
      <c r="BT64" s="264"/>
    </row>
    <row r="65" spans="1:10" x14ac:dyDescent="0.25">
      <c r="A65" s="265"/>
      <c r="B65" s="265"/>
      <c r="C65" s="265"/>
      <c r="D65" s="265"/>
      <c r="E65" s="265"/>
      <c r="F65" s="265"/>
      <c r="G65" s="265"/>
      <c r="H65" s="265"/>
      <c r="I65" s="265"/>
      <c r="J65" s="265"/>
    </row>
    <row r="66" spans="1:10" x14ac:dyDescent="0.25">
      <c r="A66" s="265"/>
      <c r="B66" s="265"/>
      <c r="C66" s="265"/>
      <c r="D66" s="265"/>
      <c r="E66" s="265"/>
      <c r="F66" s="265"/>
      <c r="G66" s="265"/>
      <c r="H66" s="265"/>
      <c r="I66" s="265"/>
      <c r="J66" s="265"/>
    </row>
    <row r="67" spans="1:10" x14ac:dyDescent="0.25">
      <c r="A67" s="265"/>
      <c r="B67" s="265"/>
      <c r="C67" s="265"/>
      <c r="D67" s="265"/>
      <c r="E67" s="265"/>
      <c r="F67" s="265"/>
      <c r="G67" s="265"/>
      <c r="H67" s="265"/>
      <c r="I67" s="265"/>
      <c r="J67" s="265"/>
    </row>
    <row r="68" spans="1:10" x14ac:dyDescent="0.25">
      <c r="A68" s="265"/>
      <c r="B68" s="265"/>
      <c r="C68" s="265"/>
      <c r="D68" s="265"/>
      <c r="E68" s="265"/>
      <c r="F68" s="265"/>
      <c r="G68" s="265"/>
      <c r="H68" s="265"/>
      <c r="I68" s="265"/>
      <c r="J68" s="265"/>
    </row>
    <row r="69" spans="1:10" x14ac:dyDescent="0.25">
      <c r="A69" s="265"/>
      <c r="B69" s="265"/>
      <c r="C69" s="265"/>
      <c r="D69" s="265"/>
      <c r="E69" s="265"/>
      <c r="F69" s="265"/>
      <c r="G69" s="265"/>
      <c r="H69" s="265"/>
      <c r="I69" s="265"/>
      <c r="J69" s="265"/>
    </row>
    <row r="70" spans="1:10" x14ac:dyDescent="0.25">
      <c r="A70" s="265"/>
      <c r="B70" s="265"/>
      <c r="C70" s="265"/>
      <c r="D70" s="265"/>
      <c r="E70" s="265"/>
      <c r="F70" s="265"/>
      <c r="G70" s="265"/>
      <c r="H70" s="265"/>
      <c r="I70" s="265"/>
      <c r="J70" s="265"/>
    </row>
  </sheetData>
  <printOptions horizontalCentered="1"/>
  <pageMargins left="0.2" right="0.2" top="0.75" bottom="0.75" header="0.3" footer="0.3"/>
  <pageSetup scale="87" orientation="landscape" r:id="rId1"/>
  <headerFooter>
    <oddFooter>&amp;L&amp;"-,Bold Italic"&amp;10&amp;K0000FFAmounts in bold and italics are different from September 17, 2019 supplemental filing.</oddFooter>
  </headerFooter>
  <customProperties>
    <customPr name="EpmWorksheetKeyString_GU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4081C303D597F46A51B1E34376944AC" ma:contentTypeVersion="56" ma:contentTypeDescription="" ma:contentTypeScope="" ma:versionID="e22e9193f40833cf40870f67854ce1a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IsConfidential xmlns="dc463f71-b30c-4ab2-9473-d307f9d35888">false</IsConfidential>
    <Date1 xmlns="dc463f71-b30c-4ab2-9473-d307f9d35888">2020-03-02T08:00:00+00:00</Date1>
    <DocumentSetType xmlns="dc463f71-b30c-4ab2-9473-d307f9d35888">Response</DocumentSetType>
    <DocketNumber xmlns="dc463f71-b30c-4ab2-9473-d307f9d35888">190529</DocketNumber>
    <Prefix xmlns="dc463f71-b30c-4ab2-9473-d307f9d35888">UE</Prefix>
    <Visibility xmlns="dc463f71-b30c-4ab2-9473-d307f9d35888">Full Visibility</Visibility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2019-06-20T07:00:00+00:00</OpenedDate>
    <SignificantOrder xmlns="dc463f71-b30c-4ab2-9473-d307f9d35888">false</SignificantOrder>
    <Nickname xmlns="http://schemas.microsoft.com/sharepoint/v3" xsi:nil="true"/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8A510710-98E9-4D09-9BA2-84633629D85F}"/>
</file>

<file path=customXml/itemProps2.xml><?xml version="1.0" encoding="utf-8"?>
<ds:datastoreItem xmlns:ds="http://schemas.openxmlformats.org/officeDocument/2006/customXml" ds:itemID="{387BBE50-23D9-421A-B4E7-C53AD5724CCF}"/>
</file>

<file path=customXml/itemProps3.xml><?xml version="1.0" encoding="utf-8"?>
<ds:datastoreItem xmlns:ds="http://schemas.openxmlformats.org/officeDocument/2006/customXml" ds:itemID="{3746EAB0-8138-4471-8D3D-3654A1DB18D5}"/>
</file>

<file path=customXml/itemProps4.xml><?xml version="1.0" encoding="utf-8"?>
<ds:datastoreItem xmlns:ds="http://schemas.openxmlformats.org/officeDocument/2006/customXml" ds:itemID="{A8572275-BD79-410B-AC08-41C3E53A511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45</vt:i4>
      </vt:variant>
    </vt:vector>
  </HeadingPairs>
  <TitlesOfParts>
    <vt:vector size="57" baseType="lpstr">
      <vt:lpstr>Impacts</vt:lpstr>
      <vt:lpstr>Rllfwd</vt:lpstr>
      <vt:lpstr>COC, Def, ConvF</vt:lpstr>
      <vt:lpstr>Summary</vt:lpstr>
      <vt:lpstr>Detailed Summary</vt:lpstr>
      <vt:lpstr>COC-Restating</vt:lpstr>
      <vt:lpstr>Common Adj</vt:lpstr>
      <vt:lpstr>Electric Adj</vt:lpstr>
      <vt:lpstr>Power Cost Bridge to A-1</vt:lpstr>
      <vt:lpstr>admin n tracking==&gt;</vt:lpstr>
      <vt:lpstr>Named Ranges E</vt:lpstr>
      <vt:lpstr>Track diff for Impacts</vt:lpstr>
      <vt:lpstr>_AMAtoEOP_Depr_E</vt:lpstr>
      <vt:lpstr>_AMAtoEOP_RB_E</vt:lpstr>
      <vt:lpstr>_AMI_E</vt:lpstr>
      <vt:lpstr>_AnnualizeRent_E</vt:lpstr>
      <vt:lpstr>_BadDebt_E</vt:lpstr>
      <vt:lpstr>_CreditCardPmt_E</vt:lpstr>
      <vt:lpstr>_D_And_O_E</vt:lpstr>
      <vt:lpstr>_DefGain_E</vt:lpstr>
      <vt:lpstr>_EmplInsurance_E</vt:lpstr>
      <vt:lpstr>_EnvRemed_E</vt:lpstr>
      <vt:lpstr>_ExcTax_E</vt:lpstr>
      <vt:lpstr>_FIT_E</vt:lpstr>
      <vt:lpstr>_GTZ_E</vt:lpstr>
      <vt:lpstr>_HRTops</vt:lpstr>
      <vt:lpstr>_Incentives_E</vt:lpstr>
      <vt:lpstr>_InjAndDam_E</vt:lpstr>
      <vt:lpstr>_IntOnCustDeposits_E</vt:lpstr>
      <vt:lpstr>_Investment_E</vt:lpstr>
      <vt:lpstr>_PassThru_E</vt:lpstr>
      <vt:lpstr>_Pension_E</vt:lpstr>
      <vt:lpstr>_PropAndLiab_E</vt:lpstr>
      <vt:lpstr>_RateCaseExp_E</vt:lpstr>
      <vt:lpstr>_RevAndExp_E</vt:lpstr>
      <vt:lpstr>_Shufflton</vt:lpstr>
      <vt:lpstr>_TBOPI_E</vt:lpstr>
      <vt:lpstr>_TempNorm_E</vt:lpstr>
      <vt:lpstr>_UnprotcdFFIT_E</vt:lpstr>
      <vt:lpstr>_WageInc_E</vt:lpstr>
      <vt:lpstr>BD_E</vt:lpstr>
      <vt:lpstr>CASE_E</vt:lpstr>
      <vt:lpstr>Comp_E</vt:lpstr>
      <vt:lpstr>Conv_Factor_E</vt:lpstr>
      <vt:lpstr>COST_OF_CAPITAL_E</vt:lpstr>
      <vt:lpstr>DOCKETNUMBER_E</vt:lpstr>
      <vt:lpstr>EXHIBIT_E</vt:lpstr>
      <vt:lpstr>FF_E</vt:lpstr>
      <vt:lpstr>FIT_E</vt:lpstr>
      <vt:lpstr>'Detailed Summary'!Print_Area</vt:lpstr>
      <vt:lpstr>Summary!Print_Area</vt:lpstr>
      <vt:lpstr>'Detailed Summary'!Print_Titles</vt:lpstr>
      <vt:lpstr>Summary!Print_Titles</vt:lpstr>
      <vt:lpstr>RATE_Increase_E</vt:lpstr>
      <vt:lpstr>RY_E</vt:lpstr>
      <vt:lpstr>TESTYEAR_E</vt:lpstr>
      <vt:lpstr>UTN_E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MarvelousMarina</dc:creator>
  <cp:lastModifiedBy>Peterson, Pete</cp:lastModifiedBy>
  <cp:lastPrinted>2020-02-27T22:50:52Z</cp:lastPrinted>
  <dcterms:created xsi:type="dcterms:W3CDTF">2015-07-22T17:29:58Z</dcterms:created>
  <dcterms:modified xsi:type="dcterms:W3CDTF">2020-02-28T19:48:26Z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NEW-PSE-WP-SEF-4.00E-ELECTRIC-MODEL-19GRC-05-2019.xlsx</vt:lpwstr>
  </property>
  <property fmtid="{D5CDD505-2E9C-101B-9397-08002B2CF9AE}" pid="3" name="ContentTypeId">
    <vt:lpwstr>0x0101006E56B4D1795A2E4DB2F0B01679ED314A0074081C303D597F46A51B1E34376944AC</vt:lpwstr>
  </property>
  <property fmtid="{D5CDD505-2E9C-101B-9397-08002B2CF9AE}" pid="4" name="_docset_NoMedatataSyncRequired">
    <vt:lpwstr>False</vt:lpwstr>
  </property>
  <property fmtid="{D5CDD505-2E9C-101B-9397-08002B2CF9AE}" pid="5" name="IsEFSEC">
    <vt:bool>false</vt:bool>
  </property>
</Properties>
</file>